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defaultThemeVersion="166925"/>
  <mc:AlternateContent xmlns:mc="http://schemas.openxmlformats.org/markup-compatibility/2006">
    <mc:Choice Requires="x15">
      <x15ac:absPath xmlns:x15ac="http://schemas.microsoft.com/office/spreadsheetml/2010/11/ac" url="C:\Users\marco.ortega\Downloads\CRT\Modelos de costos\Modelo de Costos Evitados\Actualización 2026\4. anonimizado\"/>
    </mc:Choice>
  </mc:AlternateContent>
  <xr:revisionPtr revIDLastSave="0" documentId="13_ncr:1_{161D4011-8BB1-4449-9EA7-2B3CB2BDC39D}" xr6:coauthVersionLast="36" xr6:coauthVersionMax="36" xr10:uidLastSave="{00000000-0000-0000-0000-000000000000}"/>
  <bookViews>
    <workbookView xWindow="28680" yWindow="-120" windowWidth="38640" windowHeight="21120" activeTab="4" xr2:uid="{D7574FC9-1F51-4F04-8CA2-1ED80D3B5211}"/>
  </bookViews>
  <sheets>
    <sheet name="C" sheetId="1" r:id="rId1"/>
    <sheet name="V" sheetId="2" r:id="rId2"/>
    <sheet name="S" sheetId="3" r:id="rId3"/>
    <sheet name="Listas" sheetId="4" r:id="rId4"/>
    <sheet name="Control" sheetId="5" r:id="rId5"/>
    <sheet name="Mercado" sheetId="6" r:id="rId6"/>
    <sheet name="Cálculos auxiliares" sheetId="7" r:id="rId7"/>
    <sheet name="Cálculos principales" sheetId="8" r:id="rId8"/>
    <sheet name="Calculos Renta de Linea y Voz" sheetId="9" r:id="rId9"/>
    <sheet name="Calculos Banda Ancha" sheetId="10" r:id="rId10"/>
    <sheet name="Tarifas SRL" sheetId="11" r:id="rId11"/>
    <sheet name="Datos AEP--&gt;" sheetId="12" r:id="rId12"/>
    <sheet name="Planes y paquetes" sheetId="17" r:id="rId13"/>
    <sheet name="Precios" sheetId="18" r:id="rId14"/>
  </sheets>
  <externalReferences>
    <externalReference r:id="rId15"/>
    <externalReference r:id="rId16"/>
  </externalReferences>
  <definedNames>
    <definedName name="_xlnm._FilterDatabase" localSheetId="6" hidden="1">'Cálculos auxiliares'!$A$62:$BJ$62</definedName>
    <definedName name="_xlnm._FilterDatabase" localSheetId="8" hidden="1">'Calculos Renta de Linea y Voz'!$Q$50:$Q$53</definedName>
    <definedName name="_xlnm._FilterDatabase" localSheetId="12" hidden="1">'Planes y paquetes'!$A$101:$DL$181</definedName>
    <definedName name="_xlnm._FilterDatabase" localSheetId="10" hidden="1">'Tarifas SRL'!$A$108:$BA$108</definedName>
    <definedName name="_GSRATES_1" hidden="1">"H2005092920050930USDMXN1000001"</definedName>
    <definedName name="_GSRATES_10" hidden="1">"CF3000012003033120030101"</definedName>
    <definedName name="_GSRATES_2" hidden="1">"H2005092920050930USDMXN1000001"</definedName>
    <definedName name="_GSRATES_3" hidden="1">"CF300006Invalid 20010630"</definedName>
    <definedName name="_GSRATES_4" hidden="1">"CF3000012002063020010630"</definedName>
    <definedName name="_GSRATES_5" hidden="1">"CF30000920020930        "</definedName>
    <definedName name="_GSRATES_6" hidden="1">"CF30000920010930        "</definedName>
    <definedName name="_GSRATES_7" hidden="1">"CF50000120020930        "</definedName>
    <definedName name="_GSRATES_8" hidden="1">"CT30000120020930        "</definedName>
    <definedName name="_GSRATES_9" hidden="1">"CF5000012003033120020101"</definedName>
    <definedName name="_GSRATES_COUNT" hidden="1">2</definedName>
    <definedName name="_Order2" hidden="1">255</definedName>
    <definedName name="_Regression_Int" hidden="1">1</definedName>
    <definedName name="AAA_DOCTOPS" hidden="1">"AAA_SET"</definedName>
    <definedName name="AAA_duser" hidden="1">"OFF"</definedName>
    <definedName name="AAB_Addin5" hidden="1">"AAB_Description for addin 5,Description for addin 5,Description for addin 5,Description for addin 5,Description for addin 5,Description for addin 5"</definedName>
    <definedName name="AAB_GSPPG" hidden="1">"AAB_Goldman Sachs PPG Chart Utilities 1.0g"</definedName>
    <definedName name="Admin.costs">Control!$I$49</definedName>
    <definedName name="Admin.staff.per.customer.care.staff">Control!$I$47</definedName>
    <definedName name="AEP.broadband.distribution.by.plan">Mercado!$C$21:$P$59</definedName>
    <definedName name="AEP.broadband.subs.by.plan">Mercado!$C$67:$P$105</definedName>
    <definedName name="AEP.broadband.subs.non.residential">Mercado!$I$117:$P$117</definedName>
    <definedName name="AEP.broadband.subs.residential">Mercado!$I$111:$P$111</definedName>
    <definedName name="AEP.broadband.subs.residential.with.line.rental">Mercado!$I$113:$P$113</definedName>
    <definedName name="AEP.broadband.subs.residential.without.line.rental">Mercado!$I$115:$P$115</definedName>
    <definedName name="AEP.telephone.lines">Mercado!$I$130:$P$130</definedName>
    <definedName name="AEP.telephone.lines.voice.only">Mercado!$I$151:$P$151</definedName>
    <definedName name="AEP.telephone.lines.voice.only.noresidential">Mercado!$I$155:$P$155</definedName>
    <definedName name="AEP.telephone.lines.voice.only.residential">Mercado!$I$153:$P$153</definedName>
    <definedName name="AEP.telephony.distribution.by.plan">Mercado!$C$179:$P$199</definedName>
    <definedName name="AEP.telephony.subs.by.plan">Mercado!$C$206:$P$226</definedName>
    <definedName name="_xlnm.Print_Area" localSheetId="0">'C'!$A$1:$E$47</definedName>
    <definedName name="_xlnm.Print_Area" localSheetId="1">V!$A$1:$D$59</definedName>
    <definedName name="Bad.debt.cost">Control!$I$17</definedName>
    <definedName name="Billing.cost">Control!$I$14</definedName>
    <definedName name="billion">1000000000</definedName>
    <definedName name="bit.conversion">1024</definedName>
    <definedName name="bit.per.byte">8</definedName>
    <definedName name="Broadbad.suscriptions.AEP">Mercado!$I$10:$P$10</definedName>
    <definedName name="Broadbad.suscriptions.market">Mercado!$I$10:$O$10</definedName>
    <definedName name="Broadband.gross.adds.non.residential">'Calculos Banda Ancha'!$J$32</definedName>
    <definedName name="Broadband.gross.adds.residential.with.line.rental">'Calculos Banda Ancha'!$J$23</definedName>
    <definedName name="cell.pi">2.6</definedName>
    <definedName name="clarovideo.rental.without.taxes">Control!$I$65</definedName>
    <definedName name="Customer.care.broadbandsubscriber.per.staff">Control!$I$30</definedName>
    <definedName name="Customer.care.line.rental.per.staff">Control!$I$31</definedName>
    <definedName name="Cwvu.Full_Year." hidden="1">#N/A</definedName>
    <definedName name="days.per.month">30.42</definedName>
    <definedName name="days.per.year">365</definedName>
    <definedName name="epsilon">0.000001</definedName>
    <definedName name="equipo.terminal.parameter">Control!$I$68</definedName>
    <definedName name="error" hidden="1">#N/A</definedName>
    <definedName name="error1" hidden="1">#N/A</definedName>
    <definedName name="factor.Mbps.to.Kbps">Listas!$S$4</definedName>
    <definedName name="Floorspace.per.staff">Control!$I$43</definedName>
    <definedName name="hours.per.day">24</definedName>
    <definedName name="HTML" localSheetId="12" hidden="1">{"'System_Table'!$A$1:$AM$58"}</definedName>
    <definedName name="HTML" localSheetId="13" hidden="1">{"'System_Table'!$A$1:$AM$58"}</definedName>
    <definedName name="HTML" hidden="1">{"'System_Table'!$A$1:$AM$58"}</definedName>
    <definedName name="HTML_CodePage" hidden="1">1252</definedName>
    <definedName name="HTML_Control" localSheetId="12" hidden="1">{"'System_Table'!$A$1:$AM$58"}</definedName>
    <definedName name="HTML_Control" localSheetId="13" hidden="1">{"'System_Table'!$A$1:$AM$58"}</definedName>
    <definedName name="HTML_Control" hidden="1">{"'System_Table'!$A$1:$AM$58"}</definedName>
    <definedName name="HTML_Description" hidden="1">"Westpac UNIX Systems"</definedName>
    <definedName name="HTML_Email" hidden="1">""</definedName>
    <definedName name="HTML_Header" hidden="1">"System_Table"</definedName>
    <definedName name="HTML_LastUpdate" hidden="1">"1/28/98"</definedName>
    <definedName name="HTML_LineAfter" hidden="1">FALSE</definedName>
    <definedName name="HTML_LineBefore" hidden="1">FALSE</definedName>
    <definedName name="HTML_Name" hidden="1">"Roger Ottery"</definedName>
    <definedName name="HTML_OBDlg2" hidden="1">TRUE</definedName>
    <definedName name="HTML_OBDlg4" hidden="1">TRUE</definedName>
    <definedName name="HTML_OS" hidden="1">0</definedName>
    <definedName name="HTML_PathFile" hidden="1">"C:\data\HTML\Systems.htm"</definedName>
    <definedName name="HTML_Title" hidden="1">"SYSEXCEL"</definedName>
    <definedName name="Internal" hidden="1">#N/A</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MT_OUT" hidden="1">"c2145"</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L_DATE_SCHEDULE" hidden="1">"c2481"</definedName>
    <definedName name="IQ_CALL_FEATURE" hidden="1">"c2197"</definedName>
    <definedName name="IQ_CALL_PRICE_SCHEDULE" hidden="1">"c2482"</definedName>
    <definedName name="IQ_CALLABLE" hidden="1">"c2196"</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"c2076"</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_DATE" hidden="1">"c2191"</definedName>
    <definedName name="IQ_CONV_EXP_DATE" hidden="1">"c3043"</definedName>
    <definedName name="IQ_CONV_PREMIUM" hidden="1">"c2195"</definedName>
    <definedName name="IQ_CONV_PRICE" hidden="1">"c2193"</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URATION" hidden="1">"c2181"</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ITDAR" hidden="1">"c2989"</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NORM" hidden="1">"c1902"</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SPRD" hidden="1">"c2155"</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REPAIR" hidden="1">"c2087"</definedName>
    <definedName name="IQ_MAKE_WHOLE_END_DATE" hidden="1">"c2493"</definedName>
    <definedName name="IQ_MAKE_WHOLE_SPREAD" hidden="1">"c2494"</definedName>
    <definedName name="IQ_MAKE_WHOLE_START_DATE" hidden="1">"c2492"</definedName>
    <definedName name="IQ_MARKET_CAP_LFCF" hidden="1">"c2209"</definedName>
    <definedName name="IQ_MARKETCAP" hidden="1">"c712"</definedName>
    <definedName name="IQ_MARKETING" hidden="1">"c2239"</definedName>
    <definedName name="IQ_MATURITY_DATE" hidden="1">"c2146"</definedName>
    <definedName name="IQ_MC_RATIO" hidden="1">"c2783"</definedName>
    <definedName name="IQ_MC_STATUTORY_SURPLUS" hidden="1">"c2772"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WNERSHIP" hidden="1">"c2160"</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NORMALIZED" hidden="1">"c2207"</definedName>
    <definedName name="IQ_PE_RATIO" hidden="1">"c1610"</definedName>
    <definedName name="IQ_PENSION" hidden="1">"c1031"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DATE" hidden="1">"c1069"</definedName>
    <definedName name="IQ_PRICING_DATE" hidden="1">"c1613"</definedName>
    <definedName name="IQ_PRIMARY_INDUSTRY" hidden="1">"c1070"</definedName>
    <definedName name="IQ_PRINCIPAL_AMT" hidden="1">"c2157"</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PUT_DATE_SCHEDULE" hidden="1">"c2483"</definedName>
    <definedName name="IQ_PUT_NOTIFICATION" hidden="1">"c2485"</definedName>
    <definedName name="IQ_PUT_PRICE_SCHEDULE" hidden="1">"c2484"</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"c2903"</definedName>
    <definedName name="IQ_RETAIL_ACQUIRED_OWNED_STORES" hidden="1">"c2895"</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REVISION_DATE_" hidden="1">39221.3754976852</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DA" hidden="1">"c2381"</definedName>
    <definedName name="IQ_TR_ACQ_FILING_CURRENCY" hidden="1">"c3033"</definedName>
    <definedName name="IQ_TR_ACQ_MCAP_1DAY" hidden="1">"c2345"</definedName>
    <definedName name="IQ_TR_ACQ_MIN_INT" hidden="1">"c2374"</definedName>
    <definedName name="IQ_TR_ACQ_NET_DEBT" hidden="1">"c2373"</definedName>
    <definedName name="IQ_TR_ACQ_NI" hidden="1">"c2378"</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DA" hidden="1">"c2334"</definedName>
    <definedName name="IQ_TR_TARGET_FILING_CURRENCY" hidden="1">"c3034"</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W" hidden="1">"c2163"</definedName>
    <definedName name="IQ_YTW_DATE" hidden="1">"c2164"</definedName>
    <definedName name="IQ_YTW_DATE_TYPE" hidden="1">"c2165"</definedName>
    <definedName name="IQ_Z_SCORE" hidden="1">"c1339"</definedName>
    <definedName name="kyd.Dim.01." hidden="1">"currency"</definedName>
    <definedName name="kyd.Dim.02." hidden="1">"currency"</definedName>
    <definedName name="kyd.ElementType.01." hidden="1">3</definedName>
    <definedName name="kyd.ElementType.02." hidden="1">3</definedName>
    <definedName name="kyd.MemoSortHide." hidden="1">FALSE</definedName>
    <definedName name="kyd.NumLevels.01." hidden="1">999</definedName>
    <definedName name="kyd.NumLevels.02." hidden="1">999</definedName>
    <definedName name="kyd.ParentName.01." hidden="1">"AUD"</definedName>
    <definedName name="kyd.ParentName.02." hidden="1">"AUD"</definedName>
    <definedName name="kyd.PreScreenData." hidden="1">FALSE</definedName>
    <definedName name="kyd.PrintMemo." hidden="1">FALSE</definedName>
    <definedName name="kyd.PrintParent.01." hidden="1">TRUE</definedName>
    <definedName name="kyd.PrintParent.02." hidden="1">TRUE</definedName>
    <definedName name="kyd.PrintStdWhen." hidden="1">3</definedName>
    <definedName name="kyd.SaveAsFile." hidden="1">FALSE</definedName>
    <definedName name="kyd.SaveMemo." hidden="1">FALSE</definedName>
    <definedName name="kyd.SelectString.01." hidden="1">"*"</definedName>
    <definedName name="kyd.SelectString.02." hidden="1">"*"</definedName>
    <definedName name="kyd.StdSortHide." hidden="1">FALSE</definedName>
    <definedName name="kyd.StopRow." hidden="1">16384</definedName>
    <definedName name="kyd.WriteMemWhenOptn." hidden="1">3</definedName>
    <definedName name="Line.rental.churn">Control!$I$11</definedName>
    <definedName name="local.loop.cooper">Control!$I$60</definedName>
    <definedName name="local.loop.FTTC">Control!$I$61</definedName>
    <definedName name="local.loop.optical.fiber">Control!$I$62</definedName>
    <definedName name="Marketing.and.sales.minimum.proportion.broadband">Control!$I$26</definedName>
    <definedName name="Marketing.and.sales.minimum.proportion.line.rental">Control!$I$25</definedName>
    <definedName name="Marketing.and.sales.per.gross.add.broadband">Control!$I$22</definedName>
    <definedName name="Marketing.and.sales.per.gross.add.line.rental">Control!$I$21</definedName>
    <definedName name="million">1000000</definedName>
    <definedName name="minutes.per.hour">60</definedName>
    <definedName name="modalidad" localSheetId="12">[1]listas!$A$2:$A$5</definedName>
    <definedName name="modalidad" localSheetId="13">[1]listas!$A$2:$A$5</definedName>
    <definedName name="modalidad">'Cálculos principales'!$I$7:$AR$7</definedName>
    <definedName name="Monthly.cost.per.staff">Control!$I$33</definedName>
    <definedName name="months.per.year">12</definedName>
    <definedName name="Rent.per.sqm">Control!$I$45</definedName>
    <definedName name="Retail.minus.additional.calls">'Calculos Renta de Linea y Voz'!$M$102</definedName>
    <definedName name="Retail.minus.additional.calls.retail.minus.items.only">'Calculos Renta de Linea y Voz'!$M$104</definedName>
    <definedName name="Retail.minus.bitstream.retail.minus.items.only">'Tarifas SRL'!$D$69</definedName>
    <definedName name="Retail.minus.int">'Calculos Banda Ancha'!$J$104</definedName>
    <definedName name="Retail.minus.int.retail.minus.items.only">'Calculos Banda Ancha'!$J$106</definedName>
    <definedName name="Retail.minus.line.rental">'Calculos Renta de Linea y Voz'!$J$102</definedName>
    <definedName name="Retail.minus.line.rental.retail.minus.items.only">'Calculos Renta de Linea y Voz'!$J$104</definedName>
    <definedName name="Retail.profit">Control!$I$52</definedName>
    <definedName name="Rwvu.Full_Year." hidden="1">#N/A</definedName>
    <definedName name="SAPBEXhrIndnt" hidden="1">1</definedName>
    <definedName name="SAPBEXrevision" hidden="1">6</definedName>
    <definedName name="SAPBEXsysID" hidden="1">"BWP"</definedName>
    <definedName name="SAPBEXwbID" hidden="1">"41D4CLBV2R4F1IQN1VK18MLGT"</definedName>
    <definedName name="seconds.per.hour">3600</definedName>
    <definedName name="seconds.per.minute">60</definedName>
    <definedName name="servicio">'Cálculos principales'!$I$5:$AR$5</definedName>
    <definedName name="solver_cvg" hidden="1">0.001</definedName>
    <definedName name="solver_drv" hidden="1">1</definedName>
    <definedName name="solver_est" hidden="1">1</definedName>
    <definedName name="solver_itr" hidden="1">100</definedName>
    <definedName name="solver_lin" hidden="1">2</definedName>
    <definedName name="solver_neg" hidden="1">2</definedName>
    <definedName name="solver_num" hidden="1">2</definedName>
    <definedName name="solver_nwt" hidden="1">1</definedName>
    <definedName name="solver_pre" hidden="1">0.000001</definedName>
    <definedName name="solver_rel1" hidden="1">3</definedName>
    <definedName name="solver_rel2" hidden="1">3</definedName>
    <definedName name="solver_rhs1" hidden="1">0</definedName>
    <definedName name="solver_rhs2" hidden="1">0</definedName>
    <definedName name="solver_scl" hidden="1">2</definedName>
    <definedName name="solver_sho" hidden="1">2</definedName>
    <definedName name="solver_tim" hidden="1">100</definedName>
    <definedName name="solver_tol" hidden="1">0.05</definedName>
    <definedName name="solver_typ" hidden="1">3</definedName>
    <definedName name="solver_val" hidden="1">0</definedName>
    <definedName name="suscriptores2020">Mercado!$L$66</definedName>
    <definedName name="suscriptores2021">Mercado!$M$66</definedName>
    <definedName name="suscriptores2023">Mercado!$N$66</definedName>
    <definedName name="suscriptores2024">Mercado!$O$66</definedName>
    <definedName name="thousand">1000</definedName>
    <definedName name="unit.cost.digital.service.3">'Cálculos auxiliares'!$I$8</definedName>
    <definedName name="unit.cost.digital.service.4">'Cálculos auxiliares'!$I$9</definedName>
    <definedName name="unit.cost.digital.service.5">'Cálculos auxiliares'!$I$10</definedName>
    <definedName name="vector.broadband.plans.names">Listas!$H$4:$H$42</definedName>
    <definedName name="vector.broadband.plans.singleplay.names">Listas!$N$4:$N$23</definedName>
    <definedName name="vector.distribution.users.broadband">'Cálculos principales'!$K$10:$AW$10</definedName>
    <definedName name="vector.downstream.publicited.speed">'Cálculos principales'!#REF!</definedName>
    <definedName name="vector.implicit.prices.broadband.after.discount">'Cálculos principales'!$I$70:$AW$70</definedName>
    <definedName name="vector.implicit.prices.broadband.before.discount">'Cálculos principales'!$I$58:$AW$58</definedName>
    <definedName name="vector.implicit.prices.digitalservices.after.discount">'Cálculos principales'!$I$51:$AW$51</definedName>
    <definedName name="vector.implicit.prices.digitalservices.before.discount">'Cálculos principales'!$I$34:$AW$34</definedName>
    <definedName name="vector.implicit.prices.line.rental.after.discount">'Cálculos principales'!$I$49:$AW$49</definedName>
    <definedName name="vector.implicit.prices.line.rental.before.discount">'Cálculos principales'!$I$27:$AW$27</definedName>
    <definedName name="vector.implicit.prices.serviciosasociadosbandaancha.afterdiscount">'Cálculos principales'!#REF!</definedName>
    <definedName name="vector.implicit.prices.voice.after.discount">'Cálculos principales'!$I$50:$AW$50</definedName>
    <definedName name="vector.implicit.prices.voice.before.discount">'Cálculos principales'!$I$30:$AW$30</definedName>
    <definedName name="vector.lines.publicited">'Cálculos principales'!$I$25:$AW$25</definedName>
    <definedName name="vector.num">'Tarifas SRL'!$D$109:$D$127</definedName>
    <definedName name="vector.periodicity">'Cálculos principales'!$I$16:$AW$16</definedName>
    <definedName name="vector.plans.available">'Cálculos principales'!$I$19:$AW$19</definedName>
    <definedName name="vector.plans.names">Listas!$E$4:$E$44</definedName>
    <definedName name="vector.plans.with.line.rental.noresidential">'Cálculos principales'!$I$21:$AW$21</definedName>
    <definedName name="vector.plans.with.line.rental.residential">'Cálculos principales'!$I$20:$AW$20</definedName>
    <definedName name="vector.proportion.of.implicit.prices.line.rental.wlr">'Cálculos principales'!#REF!</definedName>
    <definedName name="vector.telephony.plans.names">Listas!$K$4:$K$24</definedName>
    <definedName name="vector.telephony.plans.singleplay.names">Listas!$Q$4:$Q$5</definedName>
    <definedName name="vector.users.broadband">'Cálculos principales'!$I$9:$AW$9</definedName>
    <definedName name="vector.users.distribution.telephone">'Cálculos principales'!$I$13:$AW$13</definedName>
    <definedName name="vector.users.telephone">'Cálculos principales'!$I$12:$AW$12</definedName>
    <definedName name="WACC" localSheetId="12">#REF!</definedName>
    <definedName name="WACC" localSheetId="13">#REF!</definedName>
    <definedName name="WACC">#REF!</definedName>
    <definedName name="weighted.average.local.loop.by.plan">'Cálculos auxiliares'!$D$17:$K$50</definedName>
    <definedName name="weighted.average.local.loop.by.plan.by.tx.media">'Cálculos auxiliares'!$D$125:$J$136</definedName>
    <definedName name="Workbook.Author" localSheetId="12">[1]C!$B$14</definedName>
    <definedName name="Workbook.Author" localSheetId="13">[1]C!$B$14</definedName>
    <definedName name="Workbook.Author">'C'!$B$14</definedName>
    <definedName name="Workbook.Authors_Email_Address" localSheetId="12">[1]C!$B$15</definedName>
    <definedName name="Workbook.Authors_Email_Address" localSheetId="13">[1]C!$B$15</definedName>
    <definedName name="Workbook.Authors_Email_Address">'C'!$B$15</definedName>
    <definedName name="Workbook.Objective" localSheetId="12">[1]C!$B$6</definedName>
    <definedName name="Workbook.Objective" localSheetId="13">[1]C!$B$6</definedName>
    <definedName name="Workbook.Objective">'C'!$B$6</definedName>
    <definedName name="Workbook.Status" localSheetId="12">[1]C!$B$9</definedName>
    <definedName name="Workbook.Status" localSheetId="13">[1]C!$B$9</definedName>
    <definedName name="Workbook.Status">'C'!$B$9</definedName>
    <definedName name="Workbook.Title" localSheetId="12">[1]C!$B$5</definedName>
    <definedName name="Workbook.Title" localSheetId="13">[1]C!$B$5</definedName>
    <definedName name="Workbook.Title">'C'!$B$5</definedName>
    <definedName name="Workbook.Version" localSheetId="12">[1]C!$B$8</definedName>
    <definedName name="Workbook.Version" localSheetId="13">[1]C!$B$8</definedName>
    <definedName name="Workbook.Version">'C'!$B$8</definedName>
    <definedName name="Year.selected">Control!$I$6</definedName>
    <definedName name="Years">Listas!$B$4:$B$11</definedName>
    <definedName name="years.client.retention">Control!$I$57</definedName>
  </definedNames>
  <calcPr calcId="191029"/>
  <fileRecoveryPr repairLoad="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34" i="11" l="1"/>
  <c r="N13" i="6" l="1"/>
  <c r="F413" i="7" l="1"/>
  <c r="F412" i="7"/>
  <c r="F411" i="7"/>
  <c r="F410" i="7"/>
  <c r="F409" i="7"/>
  <c r="F408" i="7"/>
  <c r="F407" i="7"/>
  <c r="F406" i="7"/>
  <c r="E413" i="7"/>
  <c r="E412" i="7"/>
  <c r="E411" i="7"/>
  <c r="E410" i="7"/>
  <c r="E409" i="7"/>
  <c r="E408" i="7"/>
  <c r="E407" i="7"/>
  <c r="E406" i="7"/>
  <c r="G413" i="7"/>
  <c r="G412" i="7"/>
  <c r="G411" i="7"/>
  <c r="G410" i="7"/>
  <c r="G409" i="7"/>
  <c r="G408" i="7"/>
  <c r="G407" i="7"/>
  <c r="G406" i="7"/>
  <c r="E402" i="7"/>
  <c r="E401" i="7"/>
  <c r="E400" i="7"/>
  <c r="E399" i="7"/>
  <c r="E398" i="7"/>
  <c r="E397" i="7"/>
  <c r="E396" i="7"/>
  <c r="E395" i="7"/>
  <c r="X389" i="18" l="1"/>
  <c r="Y389" i="18"/>
  <c r="Z389" i="18"/>
  <c r="I33" i="5" l="1"/>
  <c r="G146" i="11" l="1"/>
  <c r="G145" i="11"/>
  <c r="G144" i="11"/>
  <c r="G143" i="11"/>
  <c r="G142" i="11"/>
  <c r="G141" i="11"/>
  <c r="G140" i="11"/>
  <c r="G139" i="11"/>
  <c r="G138" i="11"/>
  <c r="G149" i="11"/>
  <c r="G148" i="11"/>
  <c r="G147" i="11"/>
  <c r="G134" i="11"/>
  <c r="G137" i="11"/>
  <c r="G136" i="11"/>
  <c r="G135" i="11"/>
  <c r="Z411" i="18"/>
  <c r="Y411" i="18"/>
  <c r="X411" i="18"/>
  <c r="F146" i="11"/>
  <c r="F145" i="11"/>
  <c r="F144" i="11"/>
  <c r="F143" i="11"/>
  <c r="F142" i="11"/>
  <c r="F141" i="11"/>
  <c r="F140" i="11"/>
  <c r="F139" i="11"/>
  <c r="F138" i="11"/>
  <c r="F137" i="11"/>
  <c r="F136" i="11"/>
  <c r="F135" i="11"/>
  <c r="S127" i="11"/>
  <c r="S126" i="11"/>
  <c r="S125" i="11"/>
  <c r="S124" i="11"/>
  <c r="S123" i="11"/>
  <c r="S122" i="11"/>
  <c r="S121" i="11"/>
  <c r="S120" i="11"/>
  <c r="S119" i="11"/>
  <c r="S118" i="11"/>
  <c r="S117" i="11"/>
  <c r="S116" i="11"/>
  <c r="S115" i="11"/>
  <c r="S114" i="11"/>
  <c r="S113" i="11"/>
  <c r="S112" i="11"/>
  <c r="S111" i="11"/>
  <c r="S110" i="11"/>
  <c r="S109" i="11"/>
  <c r="R127" i="11"/>
  <c r="R126" i="11"/>
  <c r="R125" i="11"/>
  <c r="R124" i="11"/>
  <c r="R123" i="11"/>
  <c r="R122" i="11"/>
  <c r="R121" i="11"/>
  <c r="R120" i="11"/>
  <c r="R119" i="11"/>
  <c r="R118" i="11"/>
  <c r="R117" i="11"/>
  <c r="R116" i="11"/>
  <c r="R115" i="11"/>
  <c r="R114" i="11"/>
  <c r="R113" i="11"/>
  <c r="R112" i="11"/>
  <c r="R111" i="11"/>
  <c r="R110" i="11"/>
  <c r="R109" i="11"/>
  <c r="G117" i="11"/>
  <c r="G127" i="11"/>
  <c r="G126" i="11"/>
  <c r="G125" i="11"/>
  <c r="G124" i="11"/>
  <c r="G123" i="11"/>
  <c r="G122" i="11"/>
  <c r="G121" i="11"/>
  <c r="G120" i="11"/>
  <c r="G119" i="11"/>
  <c r="G118" i="11"/>
  <c r="G116" i="11"/>
  <c r="G115" i="11"/>
  <c r="G114" i="11"/>
  <c r="G113" i="11"/>
  <c r="G112" i="11"/>
  <c r="G111" i="11"/>
  <c r="G110" i="11"/>
  <c r="G109" i="11"/>
  <c r="F127" i="11"/>
  <c r="F126" i="11"/>
  <c r="F125" i="11"/>
  <c r="F124" i="11"/>
  <c r="F123" i="11"/>
  <c r="F122" i="11"/>
  <c r="F121" i="11"/>
  <c r="F120" i="11"/>
  <c r="F119" i="11"/>
  <c r="F118" i="11"/>
  <c r="F116" i="11"/>
  <c r="F115" i="11"/>
  <c r="F114" i="11"/>
  <c r="F113" i="11"/>
  <c r="F112" i="11"/>
  <c r="F111" i="11"/>
  <c r="F110" i="11"/>
  <c r="F109" i="11"/>
  <c r="J88" i="11"/>
  <c r="I88" i="11"/>
  <c r="G88" i="11"/>
  <c r="F88" i="11"/>
  <c r="F90" i="11"/>
  <c r="G90" i="11"/>
  <c r="I90" i="11"/>
  <c r="J90" i="11"/>
  <c r="J82" i="11"/>
  <c r="I82" i="11"/>
  <c r="G82" i="11"/>
  <c r="F82" i="11"/>
  <c r="J91" i="11"/>
  <c r="J89" i="11"/>
  <c r="J87" i="11"/>
  <c r="J86" i="11"/>
  <c r="J85" i="11"/>
  <c r="J84" i="11"/>
  <c r="J83" i="11"/>
  <c r="J81" i="11"/>
  <c r="J80" i="11"/>
  <c r="J79" i="11"/>
  <c r="J78" i="11"/>
  <c r="J77" i="11"/>
  <c r="J76" i="11"/>
  <c r="J75" i="11"/>
  <c r="I91" i="11"/>
  <c r="I89" i="11"/>
  <c r="I87" i="11"/>
  <c r="I86" i="11"/>
  <c r="I85" i="11"/>
  <c r="I84" i="11"/>
  <c r="I83" i="11"/>
  <c r="I81" i="11"/>
  <c r="I80" i="11"/>
  <c r="I79" i="11"/>
  <c r="I78" i="11"/>
  <c r="I77" i="11"/>
  <c r="I76" i="11"/>
  <c r="I75" i="11"/>
  <c r="G80" i="11"/>
  <c r="F91" i="11"/>
  <c r="F89" i="11"/>
  <c r="F87" i="11"/>
  <c r="F86" i="11"/>
  <c r="F85" i="11"/>
  <c r="F84" i="11"/>
  <c r="F83" i="11"/>
  <c r="F81" i="11"/>
  <c r="F80" i="11"/>
  <c r="F79" i="11"/>
  <c r="F78" i="11"/>
  <c r="F77" i="11"/>
  <c r="F76" i="11"/>
  <c r="F75" i="11"/>
  <c r="F57" i="11"/>
  <c r="F56" i="11"/>
  <c r="F55" i="11"/>
  <c r="F54" i="11"/>
  <c r="F53" i="11"/>
  <c r="F52" i="11"/>
  <c r="F51" i="11"/>
  <c r="F50" i="11"/>
  <c r="F49" i="11"/>
  <c r="F48" i="11"/>
  <c r="F47" i="11"/>
  <c r="F46" i="11"/>
  <c r="F45" i="11"/>
  <c r="F44" i="11"/>
  <c r="F43" i="11"/>
  <c r="F42" i="11"/>
  <c r="F41" i="11"/>
  <c r="F40" i="11"/>
  <c r="F39" i="11"/>
  <c r="F38" i="11"/>
  <c r="F37" i="11"/>
  <c r="F36" i="11"/>
  <c r="F35" i="11"/>
  <c r="F34" i="11"/>
  <c r="F33" i="11"/>
  <c r="F32" i="11"/>
  <c r="F31" i="11"/>
  <c r="F30" i="11"/>
  <c r="F29" i="11"/>
  <c r="F28" i="11"/>
  <c r="F27" i="11"/>
  <c r="F26" i="11"/>
  <c r="F25" i="11"/>
  <c r="F24" i="11"/>
  <c r="F19" i="11"/>
  <c r="F13" i="11"/>
  <c r="F12" i="11"/>
  <c r="G91" i="11"/>
  <c r="G89" i="11"/>
  <c r="G87" i="11"/>
  <c r="G86" i="11"/>
  <c r="G85" i="11"/>
  <c r="G84" i="11"/>
  <c r="G83" i="11"/>
  <c r="G81" i="11"/>
  <c r="G79" i="11"/>
  <c r="G78" i="11"/>
  <c r="G77" i="11"/>
  <c r="G76" i="11"/>
  <c r="G75" i="11"/>
  <c r="G57" i="11"/>
  <c r="G56" i="11"/>
  <c r="G55" i="11"/>
  <c r="G54" i="11"/>
  <c r="G53" i="11"/>
  <c r="G52" i="11"/>
  <c r="G51" i="11"/>
  <c r="G50" i="11"/>
  <c r="G49" i="11"/>
  <c r="G48" i="11"/>
  <c r="G47" i="11"/>
  <c r="G46" i="11"/>
  <c r="G45" i="11"/>
  <c r="G44" i="11"/>
  <c r="G43" i="11"/>
  <c r="G42" i="11"/>
  <c r="G41" i="11"/>
  <c r="G40" i="11"/>
  <c r="G39" i="11"/>
  <c r="G38" i="11"/>
  <c r="G37" i="11"/>
  <c r="G36" i="11"/>
  <c r="G35" i="11"/>
  <c r="G34" i="11"/>
  <c r="G33" i="11"/>
  <c r="G32" i="11"/>
  <c r="G31" i="11"/>
  <c r="G30" i="11"/>
  <c r="G29" i="11"/>
  <c r="G28" i="11"/>
  <c r="G27" i="11"/>
  <c r="G26" i="11"/>
  <c r="G25" i="11"/>
  <c r="G24" i="11"/>
  <c r="G19" i="11"/>
  <c r="G13" i="11"/>
  <c r="G12" i="11"/>
  <c r="O21" i="6"/>
  <c r="D126" i="7"/>
  <c r="D127" i="7"/>
  <c r="D128" i="7"/>
  <c r="D129" i="7"/>
  <c r="D130" i="7"/>
  <c r="D131" i="7"/>
  <c r="D132" i="7"/>
  <c r="D133" i="7"/>
  <c r="D134" i="7"/>
  <c r="D135" i="7"/>
  <c r="D136" i="7"/>
  <c r="D125" i="7"/>
  <c r="P13" i="6" l="1"/>
  <c r="X392" i="18"/>
  <c r="X393" i="18"/>
  <c r="X394" i="18"/>
  <c r="X395" i="18"/>
  <c r="X396" i="18"/>
  <c r="X397" i="18"/>
  <c r="X398" i="18"/>
  <c r="X399" i="18"/>
  <c r="X400" i="18"/>
  <c r="X401" i="18"/>
  <c r="X402" i="18"/>
  <c r="X403" i="18"/>
  <c r="X404" i="18"/>
  <c r="X405" i="18"/>
  <c r="X406" i="18"/>
  <c r="X407" i="18"/>
  <c r="X409" i="18"/>
  <c r="Y401" i="18"/>
  <c r="Y402" i="18"/>
  <c r="Y403" i="18"/>
  <c r="Y404" i="18"/>
  <c r="Y405" i="18"/>
  <c r="Y406" i="18"/>
  <c r="Z400" i="18"/>
  <c r="Z401" i="18"/>
  <c r="Z402" i="18"/>
  <c r="Z403" i="18"/>
  <c r="Z404" i="18"/>
  <c r="Z405" i="18"/>
  <c r="Z406" i="18"/>
  <c r="Z407" i="18"/>
  <c r="Z409" i="18"/>
  <c r="Z410" i="18"/>
  <c r="D363" i="18"/>
  <c r="E363" i="18" s="1"/>
  <c r="F363" i="18" s="1"/>
  <c r="G363" i="18" s="1"/>
  <c r="H363" i="18" s="1"/>
  <c r="I363" i="18" s="1"/>
  <c r="J363" i="18" s="1"/>
  <c r="K363" i="18" s="1"/>
  <c r="L363" i="18" s="1"/>
  <c r="M363" i="18" s="1"/>
  <c r="N363" i="18" s="1"/>
  <c r="O363" i="18" s="1"/>
  <c r="P363" i="18" s="1"/>
  <c r="Q363" i="18" s="1"/>
  <c r="R363" i="18" s="1"/>
  <c r="S363" i="18" s="1"/>
  <c r="T363" i="18" s="1"/>
  <c r="U363" i="18" s="1"/>
  <c r="V363" i="18" s="1"/>
  <c r="W363" i="18" s="1"/>
  <c r="X363" i="18" s="1"/>
  <c r="Y363" i="18" s="1"/>
  <c r="Z363" i="18" s="1"/>
  <c r="Y410" i="18"/>
  <c r="X410" i="18"/>
  <c r="Y409" i="18"/>
  <c r="Y407" i="18"/>
  <c r="Y400" i="18"/>
  <c r="Z399" i="18"/>
  <c r="Y399" i="18"/>
  <c r="Z398" i="18"/>
  <c r="Y398" i="18"/>
  <c r="Z397" i="18"/>
  <c r="Y397" i="18"/>
  <c r="Z396" i="18"/>
  <c r="Y396" i="18"/>
  <c r="Z395" i="18"/>
  <c r="Y395" i="18"/>
  <c r="Z394" i="18"/>
  <c r="Y394" i="18"/>
  <c r="Z393" i="18"/>
  <c r="Y393" i="18"/>
  <c r="Z392" i="18"/>
  <c r="Y392" i="18"/>
  <c r="Z391" i="18"/>
  <c r="Y391" i="18"/>
  <c r="X391" i="18"/>
  <c r="Z390" i="18"/>
  <c r="Y390" i="18"/>
  <c r="X390" i="18"/>
  <c r="Z388" i="18"/>
  <c r="Y388" i="18"/>
  <c r="X388" i="18"/>
  <c r="Z387" i="18"/>
  <c r="Y387" i="18"/>
  <c r="X387" i="18"/>
  <c r="Z386" i="18"/>
  <c r="Y386" i="18"/>
  <c r="X386" i="18"/>
  <c r="Z385" i="18"/>
  <c r="Y385" i="18"/>
  <c r="X385" i="18"/>
  <c r="Z384" i="18"/>
  <c r="Y384" i="18"/>
  <c r="X384" i="18"/>
  <c r="Z383" i="18"/>
  <c r="Y383" i="18"/>
  <c r="X383" i="18"/>
  <c r="Z382" i="18"/>
  <c r="Y382" i="18"/>
  <c r="X382" i="18"/>
  <c r="Z381" i="18"/>
  <c r="Y381" i="18"/>
  <c r="X381" i="18"/>
  <c r="Z380" i="18"/>
  <c r="Y380" i="18"/>
  <c r="X380" i="18"/>
  <c r="Z379" i="18"/>
  <c r="Y379" i="18"/>
  <c r="X379" i="18"/>
  <c r="Z378" i="18"/>
  <c r="Y378" i="18"/>
  <c r="X378" i="18"/>
  <c r="Z377" i="18"/>
  <c r="Y377" i="18"/>
  <c r="X377" i="18"/>
  <c r="Z376" i="18"/>
  <c r="Y376" i="18"/>
  <c r="X376" i="18"/>
  <c r="Z375" i="18"/>
  <c r="Y375" i="18"/>
  <c r="X375" i="18"/>
  <c r="Z374" i="18"/>
  <c r="Y374" i="18"/>
  <c r="X374" i="18"/>
  <c r="Z373" i="18"/>
  <c r="Y373" i="18"/>
  <c r="X373" i="18"/>
  <c r="Z372" i="18"/>
  <c r="Y372" i="18"/>
  <c r="X372" i="18"/>
  <c r="Z371" i="18"/>
  <c r="Y371" i="18"/>
  <c r="X371" i="18"/>
  <c r="Z370" i="18"/>
  <c r="Y370" i="18"/>
  <c r="X370" i="18"/>
  <c r="Z369" i="18"/>
  <c r="Y369" i="18"/>
  <c r="X369" i="18"/>
  <c r="Z368" i="18"/>
  <c r="Y368" i="18"/>
  <c r="X368" i="18"/>
  <c r="Z367" i="18"/>
  <c r="Y367" i="18"/>
  <c r="X367" i="18"/>
  <c r="Z366" i="18"/>
  <c r="Y366" i="18"/>
  <c r="X366" i="18"/>
  <c r="A392" i="17"/>
  <c r="A393" i="17"/>
  <c r="A394" i="17"/>
  <c r="A395" i="17"/>
  <c r="A396" i="17"/>
  <c r="A397" i="17"/>
  <c r="A398" i="17"/>
  <c r="A399" i="17"/>
  <c r="A400" i="17"/>
  <c r="A401" i="17"/>
  <c r="A402" i="17"/>
  <c r="A403" i="17"/>
  <c r="A404" i="17"/>
  <c r="A405" i="17"/>
  <c r="A406" i="17"/>
  <c r="A407" i="17"/>
  <c r="A408" i="17"/>
  <c r="A409" i="17"/>
  <c r="A410" i="17"/>
  <c r="A411" i="17"/>
  <c r="A412" i="17"/>
  <c r="A413" i="17"/>
  <c r="A414" i="17"/>
  <c r="A415" i="17"/>
  <c r="A416" i="17"/>
  <c r="A417" i="17"/>
  <c r="A418" i="17"/>
  <c r="A419" i="17"/>
  <c r="A420" i="17"/>
  <c r="A421" i="17"/>
  <c r="A422" i="17"/>
  <c r="A423" i="17"/>
  <c r="A424" i="17"/>
  <c r="A425" i="17"/>
  <c r="A426" i="17"/>
  <c r="A427" i="17"/>
  <c r="A428" i="17"/>
  <c r="A429" i="17"/>
  <c r="A430" i="17"/>
  <c r="A431" i="17"/>
  <c r="A432" i="17"/>
  <c r="A391" i="17"/>
  <c r="AS19" i="8"/>
  <c r="AT19" i="8"/>
  <c r="AU19" i="8"/>
  <c r="AV19" i="8"/>
  <c r="AW19" i="8"/>
  <c r="I3" i="8" a="1"/>
  <c r="I3" i="8" s="1"/>
  <c r="I7" i="8" s="1"/>
  <c r="J2" i="8"/>
  <c r="K2" i="8" s="1"/>
  <c r="L2" i="8" s="1"/>
  <c r="M2" i="8" s="1"/>
  <c r="N2" i="8" s="1"/>
  <c r="O2" i="8" s="1"/>
  <c r="P2" i="8" s="1"/>
  <c r="Q2" i="8" s="1"/>
  <c r="R2" i="8" s="1"/>
  <c r="S2" i="8" s="1"/>
  <c r="T2" i="8" s="1"/>
  <c r="U2" i="8" s="1"/>
  <c r="V2" i="8" s="1"/>
  <c r="W2" i="8" s="1"/>
  <c r="X2" i="8" s="1"/>
  <c r="Y2" i="8" s="1"/>
  <c r="Z2" i="8" s="1"/>
  <c r="AA2" i="8" s="1"/>
  <c r="AB2" i="8" s="1"/>
  <c r="AC2" i="8" s="1"/>
  <c r="AD2" i="8" s="1"/>
  <c r="AE2" i="8" s="1"/>
  <c r="AF2" i="8" s="1"/>
  <c r="AG2" i="8" s="1"/>
  <c r="AH2" i="8" s="1"/>
  <c r="AI2" i="8" s="1"/>
  <c r="AJ2" i="8" s="1"/>
  <c r="AK2" i="8" s="1"/>
  <c r="AL2" i="8" s="1"/>
  <c r="AM2" i="8" s="1"/>
  <c r="AN2" i="8" s="1"/>
  <c r="AO2" i="8" s="1"/>
  <c r="AP2" i="8" s="1"/>
  <c r="AQ2" i="8" s="1"/>
  <c r="AR2" i="8" s="1"/>
  <c r="AS2" i="8" s="1"/>
  <c r="AT2" i="8" s="1"/>
  <c r="AU2" i="8" s="1"/>
  <c r="AV2" i="8" s="1"/>
  <c r="AW2" i="8" s="1"/>
  <c r="I5" i="8" l="1"/>
  <c r="AD3" i="8"/>
  <c r="AC3" i="8"/>
  <c r="AW3" i="8"/>
  <c r="Z3" i="8"/>
  <c r="AU3" i="8"/>
  <c r="AU30" i="8" s="1"/>
  <c r="X3" i="8"/>
  <c r="V3" i="8"/>
  <c r="AQ3" i="8"/>
  <c r="AP3" i="8"/>
  <c r="R3" i="8"/>
  <c r="Q3" i="8"/>
  <c r="AK3" i="8"/>
  <c r="AJ3" i="8"/>
  <c r="M3" i="8"/>
  <c r="K3" i="8"/>
  <c r="AF3" i="8"/>
  <c r="J3" i="8"/>
  <c r="AB3" i="8"/>
  <c r="AA3" i="8"/>
  <c r="AV3" i="8"/>
  <c r="Y3" i="8"/>
  <c r="AT3" i="8"/>
  <c r="AT30" i="8" s="1"/>
  <c r="AS3" i="8"/>
  <c r="W3" i="8"/>
  <c r="AR3" i="8"/>
  <c r="U3" i="8"/>
  <c r="T3" i="8"/>
  <c r="AO3" i="8"/>
  <c r="S3" i="8"/>
  <c r="AN3" i="8"/>
  <c r="AM3" i="8"/>
  <c r="AL3" i="8"/>
  <c r="P3" i="8"/>
  <c r="O3" i="8"/>
  <c r="N3" i="8"/>
  <c r="AI3" i="8"/>
  <c r="AH3" i="8"/>
  <c r="L3" i="8"/>
  <c r="AG3" i="8"/>
  <c r="AE3" i="8"/>
  <c r="AK58" i="8" l="1"/>
  <c r="AK30" i="8"/>
  <c r="AK7" i="8"/>
  <c r="AL7" i="8"/>
  <c r="AL30" i="8"/>
  <c r="AL58" i="8"/>
  <c r="AM30" i="8"/>
  <c r="AM7" i="8"/>
  <c r="AM58" i="8"/>
  <c r="AQ58" i="8"/>
  <c r="AQ30" i="8"/>
  <c r="AQ7" i="8"/>
  <c r="AO30" i="8"/>
  <c r="AO7" i="8"/>
  <c r="AO58" i="8"/>
  <c r="X7" i="8"/>
  <c r="X58" i="8"/>
  <c r="X30" i="8"/>
  <c r="U58" i="8"/>
  <c r="U30" i="8"/>
  <c r="U7" i="8"/>
  <c r="Z58" i="8"/>
  <c r="Z30" i="8"/>
  <c r="Z7" i="8"/>
  <c r="AV5" i="8"/>
  <c r="AV58" i="8"/>
  <c r="AV7" i="8"/>
  <c r="AV8" i="8" s="1"/>
  <c r="AB58" i="8"/>
  <c r="AB7" i="8"/>
  <c r="AB30" i="8"/>
  <c r="N7" i="8"/>
  <c r="N30" i="8"/>
  <c r="N58" i="8"/>
  <c r="P30" i="8"/>
  <c r="P58" i="8"/>
  <c r="P7" i="8"/>
  <c r="Q58" i="8"/>
  <c r="Q7" i="8"/>
  <c r="Q30" i="8"/>
  <c r="R7" i="8"/>
  <c r="R30" i="8"/>
  <c r="R58" i="8"/>
  <c r="AP30" i="8"/>
  <c r="AP7" i="8"/>
  <c r="AP58" i="8"/>
  <c r="V58" i="8"/>
  <c r="V7" i="8"/>
  <c r="V30" i="8"/>
  <c r="T7" i="8"/>
  <c r="T30" i="8"/>
  <c r="T58" i="8"/>
  <c r="AR58" i="8"/>
  <c r="AR30" i="8"/>
  <c r="AR7" i="8"/>
  <c r="AW5" i="8"/>
  <c r="AW58" i="8"/>
  <c r="AW7" i="8"/>
  <c r="AW8" i="8" s="1"/>
  <c r="W58" i="8"/>
  <c r="W30" i="8"/>
  <c r="W7" i="8"/>
  <c r="AC30" i="8"/>
  <c r="AC7" i="8"/>
  <c r="AC58" i="8"/>
  <c r="AS5" i="8"/>
  <c r="AS7" i="8"/>
  <c r="AS8" i="8"/>
  <c r="AS58" i="8"/>
  <c r="AS30" i="8"/>
  <c r="AD30" i="8"/>
  <c r="AD7" i="8"/>
  <c r="AD58" i="8"/>
  <c r="AT58" i="8"/>
  <c r="AT5" i="8"/>
  <c r="AT7" i="8"/>
  <c r="AT8" i="8"/>
  <c r="AA58" i="8"/>
  <c r="AA7" i="8"/>
  <c r="AA30" i="8"/>
  <c r="J7" i="8"/>
  <c r="J5" i="8"/>
  <c r="L7" i="8"/>
  <c r="L58" i="8"/>
  <c r="L30" i="8"/>
  <c r="AF7" i="8"/>
  <c r="AF30" i="8"/>
  <c r="AF58" i="8"/>
  <c r="AG30" i="8"/>
  <c r="AG7" i="8"/>
  <c r="AG58" i="8"/>
  <c r="AH30" i="8"/>
  <c r="AH7" i="8"/>
  <c r="AH58" i="8"/>
  <c r="K58" i="8"/>
  <c r="K30" i="8"/>
  <c r="K7" i="8"/>
  <c r="AV30" i="8"/>
  <c r="AJ30" i="8"/>
  <c r="AJ7" i="8"/>
  <c r="AJ58" i="8"/>
  <c r="O7" i="8"/>
  <c r="O30" i="8"/>
  <c r="O58" i="8"/>
  <c r="AN30" i="8"/>
  <c r="AN7" i="8"/>
  <c r="AN58" i="8"/>
  <c r="S7" i="8"/>
  <c r="S30" i="8"/>
  <c r="S58" i="8"/>
  <c r="AU58" i="8"/>
  <c r="AU5" i="8"/>
  <c r="AU7" i="8"/>
  <c r="AU8" i="8" s="1"/>
  <c r="Y58" i="8"/>
  <c r="Y30" i="8"/>
  <c r="Y7" i="8"/>
  <c r="AE30" i="8"/>
  <c r="AE7" i="8"/>
  <c r="AE58" i="8"/>
  <c r="AI58" i="8"/>
  <c r="AI30" i="8"/>
  <c r="AI7" i="8"/>
  <c r="M7" i="8"/>
  <c r="M58" i="8"/>
  <c r="M30" i="8"/>
  <c r="AW30" i="8"/>
  <c r="AW64" i="8" l="1"/>
  <c r="AW63" i="8" s="1"/>
  <c r="AW59" i="8" s="1"/>
  <c r="AW67" i="8" s="1"/>
  <c r="AW25" i="8"/>
  <c r="AW36" i="8"/>
  <c r="AW38" i="8" s="1"/>
  <c r="AW40" i="8" s="1"/>
  <c r="AW34" i="8" s="1"/>
  <c r="AV25" i="8"/>
  <c r="AV64" i="8"/>
  <c r="AV63" i="8" s="1"/>
  <c r="AV59" i="8" s="1"/>
  <c r="AV67" i="8" s="1"/>
  <c r="AV36" i="8"/>
  <c r="AV38" i="8" s="1"/>
  <c r="AV40" i="8" s="1"/>
  <c r="AV34" i="8" s="1"/>
  <c r="AV44" i="8" s="1"/>
  <c r="AV50" i="8" s="1"/>
  <c r="AU25" i="8"/>
  <c r="AU64" i="8"/>
  <c r="AU63" i="8" s="1"/>
  <c r="AU59" i="8" s="1"/>
  <c r="AU67" i="8" s="1"/>
  <c r="AU36" i="8"/>
  <c r="AU38" i="8" s="1"/>
  <c r="AU40" i="8" s="1"/>
  <c r="AU34" i="8" s="1"/>
  <c r="AT28" i="8"/>
  <c r="AT27" i="8" s="1"/>
  <c r="AT21" i="8"/>
  <c r="AT20" i="8"/>
  <c r="AV21" i="8"/>
  <c r="AV28" i="8"/>
  <c r="AV27" i="8" s="1"/>
  <c r="AV20" i="8"/>
  <c r="AS21" i="8"/>
  <c r="AS28" i="8"/>
  <c r="AS27" i="8" s="1"/>
  <c r="AS20" i="8"/>
  <c r="AW21" i="8"/>
  <c r="AW28" i="8"/>
  <c r="AW27" i="8" s="1"/>
  <c r="AW20" i="8"/>
  <c r="AU21" i="8"/>
  <c r="AU28" i="8"/>
  <c r="AU27" i="8" s="1"/>
  <c r="AU20" i="8"/>
  <c r="AT64" i="8"/>
  <c r="AT63" i="8" s="1"/>
  <c r="AT59" i="8" s="1"/>
  <c r="AT67" i="8" s="1"/>
  <c r="AT36" i="8"/>
  <c r="AT38" i="8" s="1"/>
  <c r="AT40" i="8" s="1"/>
  <c r="AT34" i="8" s="1"/>
  <c r="AT25" i="8"/>
  <c r="AS64" i="8"/>
  <c r="AS63" i="8" s="1"/>
  <c r="AS59" i="8" s="1"/>
  <c r="AS67" i="8" s="1"/>
  <c r="AS36" i="8"/>
  <c r="AS38" i="8" s="1"/>
  <c r="AS40" i="8" s="1"/>
  <c r="AS34" i="8" s="1"/>
  <c r="AS25" i="8"/>
  <c r="AS57" i="8" l="1"/>
  <c r="AW44" i="8"/>
  <c r="AW50" i="8" s="1"/>
  <c r="AU72" i="8"/>
  <c r="AU71" i="8"/>
  <c r="AU70" i="8" s="1"/>
  <c r="AU69" i="8" s="1"/>
  <c r="AT72" i="8"/>
  <c r="AT71" i="8"/>
  <c r="AT70" i="8" s="1"/>
  <c r="AT69" i="8" s="1"/>
  <c r="AS72" i="8"/>
  <c r="AS71" i="8"/>
  <c r="AS70" i="8" s="1"/>
  <c r="AV72" i="8"/>
  <c r="AV71" i="8"/>
  <c r="AV70" i="8" s="1"/>
  <c r="AV69" i="8" s="1"/>
  <c r="AW72" i="8"/>
  <c r="AW71" i="8"/>
  <c r="AW70" i="8" s="1"/>
  <c r="AW69" i="8" s="1"/>
  <c r="AU44" i="8"/>
  <c r="AU50" i="8" s="1"/>
  <c r="AV49" i="8"/>
  <c r="AV57" i="8"/>
  <c r="AT57" i="8"/>
  <c r="AT44" i="8"/>
  <c r="AT50" i="8" s="1"/>
  <c r="AW49" i="8"/>
  <c r="AW57" i="8"/>
  <c r="AS44" i="8"/>
  <c r="AS50" i="8" s="1"/>
  <c r="AU57" i="8"/>
  <c r="AW51" i="8"/>
  <c r="AV51" i="8"/>
  <c r="AS69" i="8" l="1"/>
  <c r="H90" i="11"/>
  <c r="AT51" i="8"/>
  <c r="AS49" i="8"/>
  <c r="AU51" i="8"/>
  <c r="AT49" i="8"/>
  <c r="AU49" i="8"/>
  <c r="AS51" i="8"/>
  <c r="D276" i="7" l="1" a="1"/>
  <c r="D276" i="7" s="1"/>
  <c r="F276" i="7" s="1"/>
  <c r="D144" i="7" a="1"/>
  <c r="D146" i="7" s="1"/>
  <c r="H146" i="7" s="1"/>
  <c r="D655" i="17"/>
  <c r="E655" i="17" s="1"/>
  <c r="F655" i="17" s="1"/>
  <c r="G655" i="17" s="1"/>
  <c r="H655" i="17" s="1"/>
  <c r="I655" i="17" s="1"/>
  <c r="J655" i="17" s="1"/>
  <c r="K655" i="17" s="1"/>
  <c r="L655" i="17" s="1"/>
  <c r="D387" i="17"/>
  <c r="E387" i="17" s="1"/>
  <c r="F387" i="17" s="1"/>
  <c r="G387" i="17" s="1"/>
  <c r="H387" i="17" s="1"/>
  <c r="I387" i="17" s="1"/>
  <c r="J387" i="17" s="1"/>
  <c r="K387" i="17" s="1"/>
  <c r="L387" i="17" s="1"/>
  <c r="M387" i="17" s="1"/>
  <c r="N387" i="17" s="1"/>
  <c r="O387" i="17" s="1"/>
  <c r="P387" i="17" s="1"/>
  <c r="Q387" i="17" s="1"/>
  <c r="R387" i="17" s="1"/>
  <c r="S387" i="17" s="1"/>
  <c r="T387" i="17" s="1"/>
  <c r="U387" i="17" s="1"/>
  <c r="V387" i="17" s="1"/>
  <c r="W387" i="17" s="1"/>
  <c r="X387" i="17" s="1"/>
  <c r="Y387" i="17" s="1"/>
  <c r="Z387" i="17" s="1"/>
  <c r="AA387" i="17" s="1"/>
  <c r="AB387" i="17" s="1"/>
  <c r="AC387" i="17" s="1"/>
  <c r="AD387" i="17" s="1"/>
  <c r="AE387" i="17" s="1"/>
  <c r="AF387" i="17" s="1"/>
  <c r="AG387" i="17" s="1"/>
  <c r="AH387" i="17" s="1"/>
  <c r="AI387" i="17" s="1"/>
  <c r="AJ387" i="17" s="1"/>
  <c r="AK387" i="17" s="1"/>
  <c r="AL387" i="17" s="1"/>
  <c r="AM387" i="17" s="1"/>
  <c r="AN387" i="17" s="1"/>
  <c r="AO387" i="17" s="1"/>
  <c r="AP387" i="17" s="1"/>
  <c r="AQ387" i="17" s="1"/>
  <c r="AR387" i="17" s="1"/>
  <c r="AS387" i="17" s="1"/>
  <c r="AT387" i="17" s="1"/>
  <c r="AU387" i="17" s="1"/>
  <c r="AV387" i="17" s="1"/>
  <c r="AW387" i="17" s="1"/>
  <c r="AX387" i="17" s="1"/>
  <c r="AY387" i="17" s="1"/>
  <c r="AZ387" i="17" s="1"/>
  <c r="BA387" i="17" s="1"/>
  <c r="BB387" i="17" s="1"/>
  <c r="BC387" i="17" s="1"/>
  <c r="BD387" i="17" s="1"/>
  <c r="BE387" i="17" s="1"/>
  <c r="BF387" i="17" s="1"/>
  <c r="BG387" i="17" s="1"/>
  <c r="BH387" i="17" s="1"/>
  <c r="BI387" i="17" s="1"/>
  <c r="BJ387" i="17" s="1"/>
  <c r="BK387" i="17" s="1"/>
  <c r="BL387" i="17" s="1"/>
  <c r="BM387" i="17" s="1"/>
  <c r="BN387" i="17" s="1"/>
  <c r="BO387" i="17" s="1"/>
  <c r="BP387" i="17" s="1"/>
  <c r="BQ387" i="17" s="1"/>
  <c r="BR387" i="17" s="1"/>
  <c r="BS387" i="17" s="1"/>
  <c r="BT387" i="17" s="1"/>
  <c r="BU387" i="17" s="1"/>
  <c r="BV387" i="17" s="1"/>
  <c r="BW387" i="17" s="1"/>
  <c r="BW398" i="17"/>
  <c r="BW399" i="17"/>
  <c r="BW400" i="17"/>
  <c r="BW401" i="17"/>
  <c r="BW406" i="17"/>
  <c r="BW407" i="17"/>
  <c r="BW408" i="17"/>
  <c r="BW409" i="17"/>
  <c r="BW410" i="17"/>
  <c r="BW412" i="17"/>
  <c r="BW413" i="17"/>
  <c r="BW414" i="17"/>
  <c r="BW415" i="17"/>
  <c r="BW416" i="17"/>
  <c r="BW417" i="17"/>
  <c r="BW418" i="17"/>
  <c r="BW419" i="17"/>
  <c r="BW422" i="17"/>
  <c r="BW423" i="17"/>
  <c r="BW424" i="17"/>
  <c r="BW425" i="17"/>
  <c r="BW426" i="17"/>
  <c r="BW427" i="17"/>
  <c r="BW428" i="17"/>
  <c r="BW429" i="17"/>
  <c r="BW430" i="17"/>
  <c r="BW431" i="17"/>
  <c r="BW432" i="17"/>
  <c r="BW433" i="17"/>
  <c r="BW434" i="17"/>
  <c r="BW435" i="17"/>
  <c r="BW436" i="17"/>
  <c r="BW437" i="17"/>
  <c r="BW438" i="17"/>
  <c r="BW439" i="17"/>
  <c r="BW440" i="17"/>
  <c r="BW441" i="17"/>
  <c r="BW442" i="17"/>
  <c r="BW443" i="17"/>
  <c r="BW444" i="17"/>
  <c r="BW445" i="17"/>
  <c r="BW446" i="17"/>
  <c r="BW447" i="17"/>
  <c r="BW448" i="17"/>
  <c r="BW449" i="17"/>
  <c r="BW450" i="17"/>
  <c r="BW451" i="17"/>
  <c r="BW452" i="17"/>
  <c r="BW453" i="17"/>
  <c r="BW454" i="17"/>
  <c r="BW455" i="17"/>
  <c r="BW456" i="17"/>
  <c r="BW457" i="17"/>
  <c r="BW458" i="17"/>
  <c r="BW459" i="17"/>
  <c r="BW460" i="17"/>
  <c r="BW461" i="17"/>
  <c r="BW462" i="17"/>
  <c r="BW463" i="17"/>
  <c r="BW464" i="17"/>
  <c r="BW465" i="17"/>
  <c r="BW466" i="17"/>
  <c r="BW467" i="17"/>
  <c r="BV398" i="17"/>
  <c r="BV399" i="17"/>
  <c r="BV400" i="17"/>
  <c r="BV401" i="17"/>
  <c r="BV402" i="17"/>
  <c r="BV403" i="17"/>
  <c r="BV404" i="17"/>
  <c r="BV405" i="17"/>
  <c r="BV406" i="17"/>
  <c r="BV407" i="17"/>
  <c r="BV408" i="17"/>
  <c r="BV409" i="17"/>
  <c r="BV410" i="17"/>
  <c r="BV411" i="17"/>
  <c r="BV412" i="17"/>
  <c r="BV413" i="17"/>
  <c r="BV414" i="17"/>
  <c r="BV415" i="17"/>
  <c r="BV416" i="17"/>
  <c r="BV417" i="17"/>
  <c r="BV418" i="17"/>
  <c r="BV419" i="17"/>
  <c r="BV420" i="17"/>
  <c r="BV421" i="17"/>
  <c r="BV422" i="17"/>
  <c r="BV423" i="17"/>
  <c r="BV424" i="17"/>
  <c r="BV425" i="17"/>
  <c r="BV426" i="17"/>
  <c r="BV427" i="17"/>
  <c r="BV428" i="17"/>
  <c r="BV429" i="17"/>
  <c r="BV430" i="17"/>
  <c r="BV431" i="17"/>
  <c r="BV432" i="17"/>
  <c r="BU398" i="17"/>
  <c r="BU399" i="17"/>
  <c r="BU400" i="17"/>
  <c r="BU401" i="17"/>
  <c r="BU402" i="17"/>
  <c r="BU403" i="17"/>
  <c r="BU404" i="17"/>
  <c r="BU405" i="17"/>
  <c r="BU406" i="17"/>
  <c r="BU407" i="17"/>
  <c r="BU408" i="17"/>
  <c r="BU409" i="17"/>
  <c r="BU410" i="17"/>
  <c r="BU411" i="17"/>
  <c r="BU412" i="17"/>
  <c r="BU413" i="17"/>
  <c r="BU414" i="17"/>
  <c r="BU415" i="17"/>
  <c r="BU416" i="17"/>
  <c r="BU417" i="17"/>
  <c r="BU418" i="17"/>
  <c r="BU419" i="17"/>
  <c r="BU420" i="17"/>
  <c r="BU421" i="17"/>
  <c r="BU422" i="17"/>
  <c r="BU423" i="17"/>
  <c r="BU424" i="17"/>
  <c r="BU425" i="17"/>
  <c r="BU426" i="17"/>
  <c r="BU427" i="17"/>
  <c r="BU428" i="17"/>
  <c r="BU429" i="17"/>
  <c r="BU430" i="17"/>
  <c r="BU431" i="17"/>
  <c r="BU432" i="17"/>
  <c r="BT398" i="17"/>
  <c r="BT399" i="17"/>
  <c r="BT400" i="17"/>
  <c r="BT401" i="17"/>
  <c r="BT402" i="17"/>
  <c r="BT403" i="17"/>
  <c r="BT404" i="17"/>
  <c r="BT405" i="17"/>
  <c r="BT406" i="17"/>
  <c r="BT407" i="17"/>
  <c r="BT408" i="17"/>
  <c r="BT409" i="17"/>
  <c r="BT410" i="17"/>
  <c r="BT411" i="17"/>
  <c r="BT412" i="17"/>
  <c r="BT413" i="17"/>
  <c r="BT414" i="17"/>
  <c r="BT415" i="17"/>
  <c r="BT416" i="17"/>
  <c r="BT417" i="17"/>
  <c r="BT418" i="17"/>
  <c r="BT419" i="17"/>
  <c r="BT420" i="17"/>
  <c r="BT421" i="17"/>
  <c r="BT422" i="17"/>
  <c r="BT423" i="17"/>
  <c r="BT424" i="17"/>
  <c r="BT425" i="17"/>
  <c r="BT426" i="17"/>
  <c r="BT427" i="17"/>
  <c r="BT428" i="17"/>
  <c r="BT429" i="17"/>
  <c r="BT430" i="17"/>
  <c r="BT431" i="17"/>
  <c r="BT432" i="17"/>
  <c r="BT433" i="17"/>
  <c r="BT434" i="17"/>
  <c r="BT435" i="17"/>
  <c r="BT436" i="17"/>
  <c r="BT437" i="17"/>
  <c r="BT438" i="17"/>
  <c r="BT439" i="17"/>
  <c r="BT440" i="17"/>
  <c r="BT441" i="17"/>
  <c r="BT442" i="17"/>
  <c r="BT443" i="17"/>
  <c r="BT444" i="17"/>
  <c r="BT445" i="17"/>
  <c r="BT446" i="17"/>
  <c r="BT447" i="17"/>
  <c r="BT448" i="17"/>
  <c r="BT449" i="17"/>
  <c r="BT450" i="17"/>
  <c r="BT451" i="17"/>
  <c r="BT452" i="17"/>
  <c r="BT453" i="17"/>
  <c r="BT454" i="17"/>
  <c r="BT455" i="17"/>
  <c r="BT456" i="17"/>
  <c r="BT457" i="17"/>
  <c r="BT458" i="17"/>
  <c r="BT459" i="17"/>
  <c r="BT460" i="17"/>
  <c r="BT461" i="17"/>
  <c r="BT462" i="17"/>
  <c r="BT463" i="17"/>
  <c r="BT464" i="17"/>
  <c r="BT465" i="17"/>
  <c r="BT466" i="17"/>
  <c r="BT467" i="17"/>
  <c r="BS398" i="17"/>
  <c r="BS399" i="17"/>
  <c r="BS400" i="17"/>
  <c r="BS401" i="17"/>
  <c r="BS402" i="17"/>
  <c r="BS403" i="17"/>
  <c r="BS404" i="17"/>
  <c r="BS405" i="17"/>
  <c r="BS406" i="17"/>
  <c r="BS407" i="17"/>
  <c r="BS408" i="17"/>
  <c r="BS409" i="17"/>
  <c r="BS410" i="17"/>
  <c r="BS411" i="17"/>
  <c r="BS412" i="17"/>
  <c r="BS413" i="17"/>
  <c r="BS414" i="17"/>
  <c r="BS415" i="17"/>
  <c r="BS416" i="17"/>
  <c r="BS417" i="17"/>
  <c r="BS418" i="17"/>
  <c r="BS419" i="17"/>
  <c r="BS420" i="17"/>
  <c r="BS421" i="17"/>
  <c r="BS422" i="17"/>
  <c r="BS423" i="17"/>
  <c r="BS424" i="17"/>
  <c r="BS425" i="17"/>
  <c r="BS426" i="17"/>
  <c r="BS427" i="17"/>
  <c r="BS428" i="17"/>
  <c r="BS429" i="17"/>
  <c r="BS430" i="17"/>
  <c r="BS431" i="17"/>
  <c r="BS432" i="17"/>
  <c r="BW397" i="17"/>
  <c r="BV397" i="17"/>
  <c r="BU397" i="17"/>
  <c r="BT397" i="17"/>
  <c r="BS397" i="17"/>
  <c r="BW396" i="17"/>
  <c r="BV396" i="17"/>
  <c r="BU396" i="17"/>
  <c r="BT396" i="17"/>
  <c r="BS396" i="17"/>
  <c r="BV395" i="17"/>
  <c r="BU395" i="17"/>
  <c r="BT395" i="17"/>
  <c r="BS395" i="17"/>
  <c r="BV394" i="17"/>
  <c r="BU394" i="17"/>
  <c r="BT394" i="17"/>
  <c r="BS394" i="17"/>
  <c r="BV393" i="17"/>
  <c r="BU393" i="17"/>
  <c r="BT393" i="17"/>
  <c r="BS393" i="17"/>
  <c r="BV392" i="17"/>
  <c r="BU392" i="17"/>
  <c r="BT392" i="17"/>
  <c r="BS392" i="17"/>
  <c r="BV391" i="17"/>
  <c r="BU391" i="17"/>
  <c r="BT391" i="17"/>
  <c r="BS391" i="17"/>
  <c r="D63" i="7" a="1"/>
  <c r="D64" i="7" s="1"/>
  <c r="D17" i="7" a="1"/>
  <c r="D17" i="7" s="1"/>
  <c r="D288" i="7" l="1"/>
  <c r="H288" i="7" s="1"/>
  <c r="D287" i="7"/>
  <c r="F287" i="7" s="1"/>
  <c r="H276" i="7"/>
  <c r="D296" i="7"/>
  <c r="F296" i="7" s="1"/>
  <c r="D293" i="7"/>
  <c r="H293" i="7" s="1"/>
  <c r="D291" i="7"/>
  <c r="H291" i="7" s="1"/>
  <c r="D286" i="7"/>
  <c r="L286" i="7" s="1"/>
  <c r="D285" i="7"/>
  <c r="L285" i="7" s="1"/>
  <c r="D307" i="7"/>
  <c r="F307" i="7" s="1"/>
  <c r="D306" i="7"/>
  <c r="F306" i="7" s="1"/>
  <c r="D297" i="7"/>
  <c r="E297" i="7" s="1"/>
  <c r="I288" i="7"/>
  <c r="D294" i="7"/>
  <c r="H294" i="7" s="1"/>
  <c r="D292" i="7"/>
  <c r="H292" i="7" s="1"/>
  <c r="D290" i="7"/>
  <c r="I290" i="7" s="1"/>
  <c r="D295" i="7"/>
  <c r="F295" i="7" s="1"/>
  <c r="D289" i="7"/>
  <c r="F289" i="7" s="1"/>
  <c r="F294" i="7"/>
  <c r="F293" i="7"/>
  <c r="I276" i="7"/>
  <c r="E276" i="7"/>
  <c r="L276" i="7"/>
  <c r="F17" i="7"/>
  <c r="G17" i="7"/>
  <c r="E288" i="7"/>
  <c r="F288" i="7"/>
  <c r="L288" i="7"/>
  <c r="M146" i="7"/>
  <c r="G278" i="7"/>
  <c r="D314" i="7"/>
  <c r="D284" i="7"/>
  <c r="D313" i="7"/>
  <c r="D312" i="7"/>
  <c r="D311" i="7"/>
  <c r="D310" i="7"/>
  <c r="D309" i="7"/>
  <c r="D308" i="7"/>
  <c r="D305" i="7"/>
  <c r="D282" i="7"/>
  <c r="D303" i="7"/>
  <c r="D280" i="7"/>
  <c r="D279" i="7"/>
  <c r="D278" i="7"/>
  <c r="D299" i="7"/>
  <c r="D277" i="7"/>
  <c r="D283" i="7"/>
  <c r="D304" i="7"/>
  <c r="D281" i="7"/>
  <c r="D302" i="7"/>
  <c r="D301" i="7"/>
  <c r="D300" i="7"/>
  <c r="D298" i="7"/>
  <c r="D83" i="7"/>
  <c r="I83" i="7" s="1"/>
  <c r="D82" i="7"/>
  <c r="H82" i="7" s="1"/>
  <c r="E36" i="7" s="1"/>
  <c r="D149" i="7"/>
  <c r="G149" i="7" s="1"/>
  <c r="D148" i="7"/>
  <c r="G148" i="7" s="1"/>
  <c r="D147" i="7"/>
  <c r="G147" i="7" s="1"/>
  <c r="D81" i="7"/>
  <c r="H81" i="7" s="1"/>
  <c r="E35" i="7" s="1"/>
  <c r="D158" i="7"/>
  <c r="D180" i="7"/>
  <c r="I180" i="7" s="1"/>
  <c r="D159" i="7"/>
  <c r="D181" i="7"/>
  <c r="I181" i="7" s="1"/>
  <c r="D160" i="7"/>
  <c r="D182" i="7"/>
  <c r="I182" i="7" s="1"/>
  <c r="D161" i="7"/>
  <c r="D150" i="7"/>
  <c r="D172" i="7"/>
  <c r="D151" i="7"/>
  <c r="D173" i="7"/>
  <c r="D152" i="7"/>
  <c r="D174" i="7"/>
  <c r="D153" i="7"/>
  <c r="D175" i="7"/>
  <c r="D154" i="7"/>
  <c r="D176" i="7"/>
  <c r="D155" i="7"/>
  <c r="D177" i="7"/>
  <c r="D178" i="7"/>
  <c r="I178" i="7" s="1"/>
  <c r="D171" i="7"/>
  <c r="D169" i="7"/>
  <c r="D168" i="7"/>
  <c r="D166" i="7"/>
  <c r="D165" i="7"/>
  <c r="D163" i="7"/>
  <c r="D145" i="7"/>
  <c r="G146" i="7"/>
  <c r="D144" i="7"/>
  <c r="F146" i="7"/>
  <c r="D179" i="7"/>
  <c r="I179" i="7" s="1"/>
  <c r="D170" i="7"/>
  <c r="D167" i="7"/>
  <c r="D164" i="7"/>
  <c r="D162" i="7"/>
  <c r="D157" i="7"/>
  <c r="D156" i="7"/>
  <c r="K64" i="7"/>
  <c r="G64" i="7"/>
  <c r="I64" i="7"/>
  <c r="H64" i="7"/>
  <c r="E18" i="7" s="1"/>
  <c r="J64" i="7"/>
  <c r="F64" i="7"/>
  <c r="D69" i="7"/>
  <c r="D67" i="7"/>
  <c r="D66" i="7"/>
  <c r="D65" i="7"/>
  <c r="D63" i="7"/>
  <c r="D70" i="7"/>
  <c r="D92" i="7"/>
  <c r="D94" i="7"/>
  <c r="D71" i="7"/>
  <c r="D93" i="7"/>
  <c r="D72" i="7"/>
  <c r="D76" i="7"/>
  <c r="D99" i="7"/>
  <c r="D78" i="7"/>
  <c r="D73" i="7"/>
  <c r="D95" i="7"/>
  <c r="D74" i="7"/>
  <c r="D96" i="7"/>
  <c r="D75" i="7"/>
  <c r="D97" i="7"/>
  <c r="D98" i="7"/>
  <c r="D77" i="7"/>
  <c r="D100" i="7"/>
  <c r="D79" i="7"/>
  <c r="D101" i="7"/>
  <c r="D80" i="7"/>
  <c r="D85" i="7"/>
  <c r="D68" i="7"/>
  <c r="D91" i="7"/>
  <c r="D90" i="7"/>
  <c r="D89" i="7"/>
  <c r="D88" i="7"/>
  <c r="D87" i="7"/>
  <c r="D86" i="7"/>
  <c r="D84" i="7"/>
  <c r="D38" i="7"/>
  <c r="D37" i="7"/>
  <c r="D36" i="7"/>
  <c r="D35" i="7"/>
  <c r="D34" i="7"/>
  <c r="D55" i="7"/>
  <c r="D33" i="7"/>
  <c r="D54" i="7"/>
  <c r="D32" i="7"/>
  <c r="D53" i="7"/>
  <c r="D31" i="7"/>
  <c r="D52" i="7"/>
  <c r="D30" i="7"/>
  <c r="D51" i="7"/>
  <c r="D29" i="7"/>
  <c r="D50" i="7"/>
  <c r="D28" i="7"/>
  <c r="D49" i="7"/>
  <c r="D27" i="7"/>
  <c r="D48" i="7"/>
  <c r="D26" i="7"/>
  <c r="D47" i="7"/>
  <c r="D25" i="7"/>
  <c r="D46" i="7"/>
  <c r="D24" i="7"/>
  <c r="D45" i="7"/>
  <c r="D23" i="7"/>
  <c r="D44" i="7"/>
  <c r="D22" i="7"/>
  <c r="D43" i="7"/>
  <c r="D21" i="7"/>
  <c r="D42" i="7"/>
  <c r="D20" i="7"/>
  <c r="D41" i="7"/>
  <c r="D19" i="7"/>
  <c r="D40" i="7"/>
  <c r="D18" i="7"/>
  <c r="D39" i="7"/>
  <c r="E206" i="6" a="1"/>
  <c r="E206" i="6" s="1"/>
  <c r="L293" i="7" l="1"/>
  <c r="I287" i="7"/>
  <c r="E291" i="7"/>
  <c r="H287" i="7"/>
  <c r="E287" i="7"/>
  <c r="F147" i="7"/>
  <c r="I293" i="7"/>
  <c r="I291" i="7"/>
  <c r="L287" i="7"/>
  <c r="L307" i="7"/>
  <c r="H147" i="7"/>
  <c r="E296" i="7"/>
  <c r="I296" i="7"/>
  <c r="H296" i="7"/>
  <c r="L296" i="7"/>
  <c r="L292" i="7"/>
  <c r="E294" i="7"/>
  <c r="I294" i="7"/>
  <c r="I295" i="7"/>
  <c r="L306" i="7"/>
  <c r="H295" i="7"/>
  <c r="I297" i="7"/>
  <c r="L291" i="7"/>
  <c r="H307" i="7"/>
  <c r="F81" i="7"/>
  <c r="F297" i="7"/>
  <c r="E290" i="7"/>
  <c r="H83" i="7"/>
  <c r="E37" i="7" s="1"/>
  <c r="H290" i="7"/>
  <c r="F148" i="7"/>
  <c r="E295" i="7"/>
  <c r="E307" i="7"/>
  <c r="L294" i="7"/>
  <c r="F149" i="7"/>
  <c r="I306" i="7"/>
  <c r="K81" i="7"/>
  <c r="L290" i="7"/>
  <c r="I292" i="7"/>
  <c r="I307" i="7"/>
  <c r="L295" i="7"/>
  <c r="I289" i="7"/>
  <c r="L289" i="7"/>
  <c r="G81" i="7"/>
  <c r="E289" i="7"/>
  <c r="H297" i="7"/>
  <c r="G83" i="7"/>
  <c r="E306" i="7"/>
  <c r="L297" i="7"/>
  <c r="J81" i="7"/>
  <c r="F285" i="7"/>
  <c r="I285" i="7"/>
  <c r="H285" i="7"/>
  <c r="E285" i="7"/>
  <c r="H149" i="7"/>
  <c r="G281" i="7" s="1"/>
  <c r="H306" i="7"/>
  <c r="F292" i="7"/>
  <c r="F290" i="7"/>
  <c r="H289" i="7"/>
  <c r="H148" i="7"/>
  <c r="M148" i="7" s="1"/>
  <c r="F286" i="7"/>
  <c r="I286" i="7"/>
  <c r="H286" i="7"/>
  <c r="E286" i="7"/>
  <c r="E292" i="7"/>
  <c r="F291" i="7"/>
  <c r="E293" i="7"/>
  <c r="F40" i="7"/>
  <c r="G40" i="7"/>
  <c r="L282" i="7"/>
  <c r="I282" i="7"/>
  <c r="H282" i="7"/>
  <c r="F282" i="7"/>
  <c r="E282" i="7"/>
  <c r="I313" i="7"/>
  <c r="E313" i="7"/>
  <c r="H313" i="7"/>
  <c r="F313" i="7"/>
  <c r="L313" i="7"/>
  <c r="F284" i="7"/>
  <c r="E284" i="7"/>
  <c r="I284" i="7"/>
  <c r="H284" i="7"/>
  <c r="L284" i="7"/>
  <c r="G45" i="7"/>
  <c r="F45" i="7"/>
  <c r="G35" i="7"/>
  <c r="F35" i="7"/>
  <c r="G25" i="7"/>
  <c r="F25" i="7"/>
  <c r="F38" i="7"/>
  <c r="G38" i="7"/>
  <c r="L281" i="7"/>
  <c r="F281" i="7"/>
  <c r="I281" i="7"/>
  <c r="H281" i="7"/>
  <c r="E281" i="7"/>
  <c r="L304" i="7"/>
  <c r="F304" i="7"/>
  <c r="I304" i="7"/>
  <c r="H304" i="7"/>
  <c r="E304" i="7"/>
  <c r="F27" i="7"/>
  <c r="G27" i="7"/>
  <c r="F83" i="7"/>
  <c r="F22" i="7"/>
  <c r="G22" i="7"/>
  <c r="F33" i="7"/>
  <c r="G33" i="7"/>
  <c r="G44" i="7"/>
  <c r="F44" i="7"/>
  <c r="G55" i="7"/>
  <c r="F55" i="7"/>
  <c r="G23" i="7"/>
  <c r="F23" i="7"/>
  <c r="G24" i="7"/>
  <c r="F24" i="7"/>
  <c r="G37" i="7"/>
  <c r="F37" i="7"/>
  <c r="J82" i="7"/>
  <c r="H302" i="7"/>
  <c r="L302" i="7"/>
  <c r="F302" i="7"/>
  <c r="E302" i="7"/>
  <c r="I302" i="7"/>
  <c r="F82" i="7"/>
  <c r="K82" i="7"/>
  <c r="L278" i="7"/>
  <c r="H278" i="7"/>
  <c r="F278" i="7"/>
  <c r="I278" i="7"/>
  <c r="E278" i="7"/>
  <c r="F28" i="7"/>
  <c r="G28" i="7"/>
  <c r="L280" i="7"/>
  <c r="H280" i="7"/>
  <c r="F280" i="7"/>
  <c r="I280" i="7"/>
  <c r="E280" i="7"/>
  <c r="H18" i="7"/>
  <c r="I18" i="7"/>
  <c r="G18" i="7"/>
  <c r="F18" i="7"/>
  <c r="L303" i="7"/>
  <c r="E303" i="7"/>
  <c r="F303" i="7"/>
  <c r="I303" i="7"/>
  <c r="H303" i="7"/>
  <c r="G82" i="7"/>
  <c r="F42" i="7"/>
  <c r="G42" i="7"/>
  <c r="F53" i="7"/>
  <c r="G53" i="7"/>
  <c r="E310" i="7"/>
  <c r="F310" i="7"/>
  <c r="L310" i="7"/>
  <c r="I310" i="7"/>
  <c r="H310" i="7"/>
  <c r="G34" i="7"/>
  <c r="F34" i="7"/>
  <c r="I82" i="7"/>
  <c r="L298" i="7"/>
  <c r="H298" i="7"/>
  <c r="I298" i="7"/>
  <c r="F298" i="7"/>
  <c r="E298" i="7"/>
  <c r="I314" i="7"/>
  <c r="E314" i="7"/>
  <c r="H314" i="7"/>
  <c r="F314" i="7"/>
  <c r="L314" i="7"/>
  <c r="H301" i="7"/>
  <c r="L301" i="7"/>
  <c r="F301" i="7"/>
  <c r="E301" i="7"/>
  <c r="I301" i="7"/>
  <c r="G26" i="7"/>
  <c r="F26" i="7"/>
  <c r="F48" i="7"/>
  <c r="G48" i="7"/>
  <c r="G49" i="7"/>
  <c r="F49" i="7"/>
  <c r="F39" i="7"/>
  <c r="G39" i="7"/>
  <c r="F50" i="7"/>
  <c r="G50" i="7"/>
  <c r="F29" i="7"/>
  <c r="G29" i="7"/>
  <c r="F51" i="7"/>
  <c r="G51" i="7"/>
  <c r="M147" i="7"/>
  <c r="G279" i="7"/>
  <c r="F41" i="7"/>
  <c r="G41" i="7"/>
  <c r="F52" i="7"/>
  <c r="G52" i="7"/>
  <c r="G21" i="7"/>
  <c r="F21" i="7"/>
  <c r="F32" i="7"/>
  <c r="G32" i="7"/>
  <c r="L300" i="7"/>
  <c r="H300" i="7"/>
  <c r="F300" i="7"/>
  <c r="E300" i="7"/>
  <c r="I300" i="7"/>
  <c r="G36" i="7"/>
  <c r="F36" i="7"/>
  <c r="G46" i="7"/>
  <c r="F46" i="7"/>
  <c r="F47" i="7"/>
  <c r="G47" i="7"/>
  <c r="J83" i="7"/>
  <c r="I283" i="7"/>
  <c r="H283" i="7"/>
  <c r="L283" i="7"/>
  <c r="F283" i="7"/>
  <c r="E283" i="7"/>
  <c r="L277" i="7"/>
  <c r="H277" i="7"/>
  <c r="E277" i="7"/>
  <c r="I277" i="7"/>
  <c r="F277" i="7"/>
  <c r="L299" i="7"/>
  <c r="H299" i="7"/>
  <c r="I299" i="7"/>
  <c r="F299" i="7"/>
  <c r="E299" i="7"/>
  <c r="L279" i="7"/>
  <c r="H279" i="7"/>
  <c r="I279" i="7"/>
  <c r="F279" i="7"/>
  <c r="E279" i="7"/>
  <c r="G19" i="7"/>
  <c r="F19" i="7"/>
  <c r="F30" i="7"/>
  <c r="G30" i="7"/>
  <c r="E305" i="7"/>
  <c r="I305" i="7"/>
  <c r="H305" i="7"/>
  <c r="L305" i="7"/>
  <c r="F305" i="7"/>
  <c r="F308" i="7"/>
  <c r="I308" i="7"/>
  <c r="H308" i="7"/>
  <c r="L308" i="7"/>
  <c r="E308" i="7"/>
  <c r="G20" i="7"/>
  <c r="F20" i="7"/>
  <c r="F31" i="7"/>
  <c r="G31" i="7"/>
  <c r="F309" i="7"/>
  <c r="I309" i="7"/>
  <c r="H309" i="7"/>
  <c r="L309" i="7"/>
  <c r="E309" i="7"/>
  <c r="K83" i="7"/>
  <c r="I37" i="7" s="1"/>
  <c r="E311" i="7"/>
  <c r="F311" i="7"/>
  <c r="L311" i="7"/>
  <c r="I311" i="7"/>
  <c r="H311" i="7"/>
  <c r="F43" i="7"/>
  <c r="G43" i="7"/>
  <c r="F54" i="7"/>
  <c r="G54" i="7"/>
  <c r="I312" i="7"/>
  <c r="E312" i="7"/>
  <c r="F312" i="7"/>
  <c r="L312" i="7"/>
  <c r="H312" i="7"/>
  <c r="I81" i="7"/>
  <c r="G156" i="7"/>
  <c r="F156" i="7"/>
  <c r="H156" i="7"/>
  <c r="H164" i="7"/>
  <c r="M164" i="7" s="1"/>
  <c r="F164" i="7"/>
  <c r="G164" i="7"/>
  <c r="F176" i="7"/>
  <c r="G176" i="7"/>
  <c r="H176" i="7"/>
  <c r="M176" i="7" s="1"/>
  <c r="G170" i="7"/>
  <c r="H170" i="7"/>
  <c r="M170" i="7" s="1"/>
  <c r="F170" i="7"/>
  <c r="H175" i="7"/>
  <c r="M175" i="7" s="1"/>
  <c r="F175" i="7"/>
  <c r="G175" i="7"/>
  <c r="H173" i="7"/>
  <c r="M173" i="7" s="1"/>
  <c r="G173" i="7"/>
  <c r="F173" i="7"/>
  <c r="H151" i="7"/>
  <c r="G151" i="7"/>
  <c r="F151" i="7"/>
  <c r="G157" i="7"/>
  <c r="F157" i="7"/>
  <c r="H157" i="7"/>
  <c r="G177" i="7"/>
  <c r="F177" i="7"/>
  <c r="H177" i="7"/>
  <c r="M177" i="7" s="1"/>
  <c r="F162" i="7"/>
  <c r="G162" i="7"/>
  <c r="H162" i="7"/>
  <c r="M162" i="7" s="1"/>
  <c r="G155" i="7"/>
  <c r="F155" i="7"/>
  <c r="H155" i="7"/>
  <c r="H167" i="7"/>
  <c r="M167" i="7" s="1"/>
  <c r="F167" i="7"/>
  <c r="G167" i="7"/>
  <c r="F154" i="7"/>
  <c r="H154" i="7"/>
  <c r="G154" i="7"/>
  <c r="H174" i="7"/>
  <c r="M174" i="7" s="1"/>
  <c r="F174" i="7"/>
  <c r="G174" i="7"/>
  <c r="H152" i="7"/>
  <c r="F152" i="7"/>
  <c r="G152" i="7"/>
  <c r="F144" i="7"/>
  <c r="G144" i="7"/>
  <c r="H144" i="7"/>
  <c r="H172" i="7"/>
  <c r="M172" i="7" s="1"/>
  <c r="G172" i="7"/>
  <c r="F172" i="7"/>
  <c r="H150" i="7"/>
  <c r="G150" i="7"/>
  <c r="F150" i="7"/>
  <c r="F161" i="7"/>
  <c r="G161" i="7"/>
  <c r="H161" i="7"/>
  <c r="M161" i="7" s="1"/>
  <c r="H145" i="7"/>
  <c r="G145" i="7"/>
  <c r="F145" i="7"/>
  <c r="F182" i="7"/>
  <c r="B182" i="7" s="1"/>
  <c r="G182" i="7"/>
  <c r="H182" i="7"/>
  <c r="M182" i="7" s="1"/>
  <c r="F163" i="7"/>
  <c r="G163" i="7"/>
  <c r="H163" i="7"/>
  <c r="M163" i="7" s="1"/>
  <c r="F160" i="7"/>
  <c r="H160" i="7"/>
  <c r="M160" i="7" s="1"/>
  <c r="G160" i="7"/>
  <c r="H165" i="7"/>
  <c r="M165" i="7" s="1"/>
  <c r="G165" i="7"/>
  <c r="F165" i="7"/>
  <c r="F181" i="7"/>
  <c r="B181" i="7" s="1"/>
  <c r="H181" i="7"/>
  <c r="M181" i="7" s="1"/>
  <c r="G181" i="7"/>
  <c r="G179" i="7"/>
  <c r="F179" i="7"/>
  <c r="B179" i="7" s="1"/>
  <c r="H179" i="7"/>
  <c r="M179" i="7" s="1"/>
  <c r="H153" i="7"/>
  <c r="F153" i="7"/>
  <c r="G153" i="7"/>
  <c r="H166" i="7"/>
  <c r="M166" i="7" s="1"/>
  <c r="F166" i="7"/>
  <c r="G166" i="7"/>
  <c r="F159" i="7"/>
  <c r="H159" i="7"/>
  <c r="M159" i="7" s="1"/>
  <c r="G159" i="7"/>
  <c r="H168" i="7"/>
  <c r="M168" i="7" s="1"/>
  <c r="G168" i="7"/>
  <c r="F168" i="7"/>
  <c r="G180" i="7"/>
  <c r="F180" i="7"/>
  <c r="B180" i="7" s="1"/>
  <c r="H180" i="7"/>
  <c r="M180" i="7" s="1"/>
  <c r="G169" i="7"/>
  <c r="H169" i="7"/>
  <c r="M169" i="7" s="1"/>
  <c r="F169" i="7"/>
  <c r="G158" i="7"/>
  <c r="H158" i="7"/>
  <c r="F158" i="7"/>
  <c r="G171" i="7"/>
  <c r="H171" i="7"/>
  <c r="M171" i="7" s="1"/>
  <c r="F171" i="7"/>
  <c r="G178" i="7"/>
  <c r="F178" i="7"/>
  <c r="B178" i="7" s="1"/>
  <c r="H178" i="7"/>
  <c r="M178" i="7" s="1"/>
  <c r="H63" i="7"/>
  <c r="I63" i="7"/>
  <c r="J63" i="7"/>
  <c r="K63" i="7"/>
  <c r="F63" i="7"/>
  <c r="G63" i="7"/>
  <c r="H80" i="7"/>
  <c r="E34" i="7" s="1"/>
  <c r="G80" i="7"/>
  <c r="I80" i="7"/>
  <c r="K80" i="7"/>
  <c r="J80" i="7"/>
  <c r="F80" i="7"/>
  <c r="H79" i="7"/>
  <c r="E33" i="7" s="1"/>
  <c r="I79" i="7"/>
  <c r="G79" i="7"/>
  <c r="K79" i="7"/>
  <c r="F79" i="7"/>
  <c r="J79" i="7"/>
  <c r="F88" i="7"/>
  <c r="K88" i="7"/>
  <c r="G88" i="7"/>
  <c r="I88" i="7"/>
  <c r="J88" i="7"/>
  <c r="H88" i="7"/>
  <c r="E42" i="7" s="1"/>
  <c r="H78" i="7"/>
  <c r="E32" i="7" s="1"/>
  <c r="I78" i="7"/>
  <c r="G78" i="7"/>
  <c r="F78" i="7"/>
  <c r="J78" i="7"/>
  <c r="K78" i="7"/>
  <c r="J68" i="7"/>
  <c r="F68" i="7"/>
  <c r="K68" i="7"/>
  <c r="G68" i="7"/>
  <c r="H68" i="7"/>
  <c r="E22" i="7" s="1"/>
  <c r="I68" i="7"/>
  <c r="I94" i="7"/>
  <c r="J94" i="7"/>
  <c r="F94" i="7"/>
  <c r="K94" i="7"/>
  <c r="G94" i="7"/>
  <c r="H94" i="7"/>
  <c r="E48" i="7" s="1"/>
  <c r="I92" i="7"/>
  <c r="J92" i="7"/>
  <c r="F92" i="7"/>
  <c r="K92" i="7"/>
  <c r="G92" i="7"/>
  <c r="H92" i="7"/>
  <c r="E46" i="7" s="1"/>
  <c r="G85" i="7"/>
  <c r="K85" i="7"/>
  <c r="F85" i="7"/>
  <c r="J85" i="7"/>
  <c r="H39" i="7" s="1"/>
  <c r="H85" i="7"/>
  <c r="E39" i="7" s="1"/>
  <c r="I85" i="7"/>
  <c r="I70" i="7"/>
  <c r="K70" i="7"/>
  <c r="J70" i="7"/>
  <c r="F70" i="7"/>
  <c r="G70" i="7"/>
  <c r="H70" i="7"/>
  <c r="E24" i="7" s="1"/>
  <c r="I101" i="7"/>
  <c r="H101" i="7"/>
  <c r="E55" i="7" s="1"/>
  <c r="K101" i="7"/>
  <c r="J101" i="7"/>
  <c r="F101" i="7"/>
  <c r="G101" i="7"/>
  <c r="H100" i="7"/>
  <c r="E54" i="7" s="1"/>
  <c r="I100" i="7"/>
  <c r="J100" i="7"/>
  <c r="K100" i="7"/>
  <c r="F100" i="7"/>
  <c r="G100" i="7"/>
  <c r="K65" i="7"/>
  <c r="G65" i="7"/>
  <c r="H65" i="7"/>
  <c r="E19" i="7" s="1"/>
  <c r="I65" i="7"/>
  <c r="J65" i="7"/>
  <c r="F65" i="7"/>
  <c r="H98" i="7"/>
  <c r="E52" i="7" s="1"/>
  <c r="I98" i="7"/>
  <c r="J98" i="7"/>
  <c r="F98" i="7"/>
  <c r="K98" i="7"/>
  <c r="G98" i="7"/>
  <c r="H97" i="7"/>
  <c r="E51" i="7" s="1"/>
  <c r="I97" i="7"/>
  <c r="F97" i="7"/>
  <c r="J97" i="7"/>
  <c r="K97" i="7"/>
  <c r="G97" i="7"/>
  <c r="F66" i="7"/>
  <c r="K66" i="7"/>
  <c r="G66" i="7"/>
  <c r="H66" i="7"/>
  <c r="E20" i="7" s="1"/>
  <c r="I66" i="7"/>
  <c r="J66" i="7"/>
  <c r="K84" i="7"/>
  <c r="G84" i="7"/>
  <c r="H84" i="7"/>
  <c r="E38" i="7" s="1"/>
  <c r="F84" i="7"/>
  <c r="J84" i="7"/>
  <c r="I84" i="7"/>
  <c r="H75" i="7"/>
  <c r="E29" i="7" s="1"/>
  <c r="I75" i="7"/>
  <c r="J75" i="7"/>
  <c r="F75" i="7"/>
  <c r="G75" i="7"/>
  <c r="K75" i="7"/>
  <c r="H74" i="7"/>
  <c r="E28" i="7" s="1"/>
  <c r="I74" i="7"/>
  <c r="J74" i="7"/>
  <c r="F74" i="7"/>
  <c r="K74" i="7"/>
  <c r="G74" i="7"/>
  <c r="I69" i="7"/>
  <c r="J69" i="7"/>
  <c r="K69" i="7"/>
  <c r="I23" i="7" s="1"/>
  <c r="F69" i="7"/>
  <c r="G69" i="7"/>
  <c r="H69" i="7"/>
  <c r="E23" i="7" s="1"/>
  <c r="K86" i="7"/>
  <c r="G86" i="7"/>
  <c r="F86" i="7"/>
  <c r="H86" i="7"/>
  <c r="E40" i="7" s="1"/>
  <c r="I86" i="7"/>
  <c r="J86" i="7"/>
  <c r="J95" i="7"/>
  <c r="I95" i="7"/>
  <c r="F95" i="7"/>
  <c r="K95" i="7"/>
  <c r="G95" i="7"/>
  <c r="H95" i="7"/>
  <c r="E49" i="7" s="1"/>
  <c r="K87" i="7"/>
  <c r="G87" i="7"/>
  <c r="F87" i="7"/>
  <c r="H87" i="7"/>
  <c r="E41" i="7" s="1"/>
  <c r="I87" i="7"/>
  <c r="J87" i="7"/>
  <c r="I73" i="7"/>
  <c r="J73" i="7"/>
  <c r="F73" i="7"/>
  <c r="H73" i="7"/>
  <c r="E27" i="7" s="1"/>
  <c r="G73" i="7"/>
  <c r="K73" i="7"/>
  <c r="I77" i="7"/>
  <c r="H77" i="7"/>
  <c r="E31" i="7" s="1"/>
  <c r="J77" i="7"/>
  <c r="G77" i="7"/>
  <c r="F77" i="7"/>
  <c r="K77" i="7"/>
  <c r="J67" i="7"/>
  <c r="K67" i="7"/>
  <c r="F67" i="7"/>
  <c r="G67" i="7"/>
  <c r="H67" i="7"/>
  <c r="E21" i="7" s="1"/>
  <c r="I67" i="7"/>
  <c r="J72" i="7"/>
  <c r="K72" i="7"/>
  <c r="I72" i="7"/>
  <c r="F72" i="7"/>
  <c r="H72" i="7"/>
  <c r="E26" i="7" s="1"/>
  <c r="G72" i="7"/>
  <c r="F90" i="7"/>
  <c r="J90" i="7"/>
  <c r="K90" i="7"/>
  <c r="G90" i="7"/>
  <c r="I90" i="7"/>
  <c r="H90" i="7"/>
  <c r="E44" i="7" s="1"/>
  <c r="I93" i="7"/>
  <c r="J93" i="7"/>
  <c r="F93" i="7"/>
  <c r="K93" i="7"/>
  <c r="G93" i="7"/>
  <c r="H93" i="7"/>
  <c r="E47" i="7" s="1"/>
  <c r="H96" i="7"/>
  <c r="E50" i="7" s="1"/>
  <c r="I96" i="7"/>
  <c r="J96" i="7"/>
  <c r="F96" i="7"/>
  <c r="K96" i="7"/>
  <c r="I50" i="7" s="1"/>
  <c r="G96" i="7"/>
  <c r="H99" i="7"/>
  <c r="E53" i="7" s="1"/>
  <c r="I99" i="7"/>
  <c r="J99" i="7"/>
  <c r="F99" i="7"/>
  <c r="K99" i="7"/>
  <c r="G99" i="7"/>
  <c r="J89" i="7"/>
  <c r="F89" i="7"/>
  <c r="K89" i="7"/>
  <c r="G89" i="7"/>
  <c r="I89" i="7"/>
  <c r="H89" i="7"/>
  <c r="E43" i="7" s="1"/>
  <c r="H76" i="7"/>
  <c r="E30" i="7" s="1"/>
  <c r="J76" i="7"/>
  <c r="F76" i="7"/>
  <c r="I76" i="7"/>
  <c r="G76" i="7"/>
  <c r="K76" i="7"/>
  <c r="I91" i="7"/>
  <c r="J91" i="7"/>
  <c r="G91" i="7"/>
  <c r="F91" i="7"/>
  <c r="K91" i="7"/>
  <c r="H91" i="7"/>
  <c r="E45" i="7" s="1"/>
  <c r="I71" i="7"/>
  <c r="F71" i="7"/>
  <c r="K71" i="7"/>
  <c r="J71" i="7"/>
  <c r="G71" i="7"/>
  <c r="H71" i="7"/>
  <c r="E25" i="7" s="1"/>
  <c r="E226" i="6"/>
  <c r="E225" i="6"/>
  <c r="E224" i="6"/>
  <c r="E223" i="6"/>
  <c r="E213" i="6"/>
  <c r="E222" i="6"/>
  <c r="E221" i="6"/>
  <c r="E220" i="6"/>
  <c r="E219" i="6"/>
  <c r="E218" i="6"/>
  <c r="E217" i="6"/>
  <c r="E216" i="6"/>
  <c r="E215" i="6"/>
  <c r="E214" i="6"/>
  <c r="E212" i="6"/>
  <c r="E211" i="6"/>
  <c r="E210" i="6"/>
  <c r="E209" i="6"/>
  <c r="E208" i="6"/>
  <c r="E207" i="6"/>
  <c r="E179" i="6" a="1"/>
  <c r="E179" i="6" s="1"/>
  <c r="G569" i="17"/>
  <c r="F569" i="17"/>
  <c r="P143" i="6"/>
  <c r="P141" i="6"/>
  <c r="P134" i="6"/>
  <c r="D479" i="17"/>
  <c r="E479" i="17" s="1"/>
  <c r="F479" i="17" s="1"/>
  <c r="G479" i="17" s="1"/>
  <c r="H479" i="17" s="1"/>
  <c r="I479" i="17" s="1"/>
  <c r="J479" i="17" s="1"/>
  <c r="K479" i="17" s="1"/>
  <c r="L479" i="17" s="1"/>
  <c r="M479" i="17" s="1"/>
  <c r="C479" i="17"/>
  <c r="A483" i="17"/>
  <c r="A484" i="17"/>
  <c r="A485" i="17"/>
  <c r="A486" i="17"/>
  <c r="A487" i="17"/>
  <c r="A488" i="17"/>
  <c r="A489" i="17"/>
  <c r="A490" i="17"/>
  <c r="A491" i="17"/>
  <c r="A492" i="17"/>
  <c r="A493" i="17"/>
  <c r="A494" i="17"/>
  <c r="A495" i="17"/>
  <c r="A496" i="17"/>
  <c r="A497" i="17"/>
  <c r="A498" i="17"/>
  <c r="A499" i="17"/>
  <c r="A500" i="17"/>
  <c r="A501" i="17"/>
  <c r="A502" i="17"/>
  <c r="A503" i="17"/>
  <c r="A504" i="17"/>
  <c r="A505" i="17"/>
  <c r="A506" i="17"/>
  <c r="A507" i="17"/>
  <c r="A508" i="17"/>
  <c r="A509" i="17"/>
  <c r="A510" i="17"/>
  <c r="A511" i="17"/>
  <c r="A512" i="17"/>
  <c r="A513" i="17"/>
  <c r="A514" i="17"/>
  <c r="A515" i="17"/>
  <c r="A516" i="17"/>
  <c r="A517" i="17"/>
  <c r="A518" i="17"/>
  <c r="A519" i="17"/>
  <c r="A520" i="17"/>
  <c r="A521" i="17"/>
  <c r="A522" i="17"/>
  <c r="A523" i="17"/>
  <c r="A524" i="17"/>
  <c r="A525" i="17"/>
  <c r="A526" i="17"/>
  <c r="A482" i="17"/>
  <c r="E67" i="6" a="1"/>
  <c r="E86" i="6" s="1"/>
  <c r="E21" i="6" a="1"/>
  <c r="G5" i="4"/>
  <c r="G6" i="4" s="1"/>
  <c r="G7" i="4" s="1"/>
  <c r="G8" i="4" s="1"/>
  <c r="G9" i="4" s="1"/>
  <c r="G10" i="4" s="1"/>
  <c r="G11" i="4" s="1"/>
  <c r="G12" i="4" s="1"/>
  <c r="G13" i="4" s="1"/>
  <c r="G14" i="4" s="1"/>
  <c r="G15" i="4" s="1"/>
  <c r="G16" i="4" s="1"/>
  <c r="G17" i="4" s="1"/>
  <c r="G18" i="4" s="1"/>
  <c r="G19" i="4" s="1"/>
  <c r="G20" i="4" s="1"/>
  <c r="G21" i="4" s="1"/>
  <c r="G22" i="4" s="1"/>
  <c r="G23" i="4" s="1"/>
  <c r="G24" i="4" s="1"/>
  <c r="G25" i="4" s="1"/>
  <c r="G26" i="4" s="1"/>
  <c r="G27" i="4" s="1"/>
  <c r="G28" i="4" s="1"/>
  <c r="G29" i="4" s="1"/>
  <c r="G30" i="4" s="1"/>
  <c r="G31" i="4" s="1"/>
  <c r="G32" i="4" s="1"/>
  <c r="G33" i="4" s="1"/>
  <c r="G34" i="4" s="1"/>
  <c r="G35" i="4" s="1"/>
  <c r="G36" i="4" s="1"/>
  <c r="G37" i="4" s="1"/>
  <c r="G38" i="4" s="1"/>
  <c r="G39" i="4" s="1"/>
  <c r="G40" i="4" s="1"/>
  <c r="G41" i="4" s="1"/>
  <c r="G42" i="4" s="1"/>
  <c r="B543" i="18"/>
  <c r="B544" i="18" s="1"/>
  <c r="B545" i="18" s="1"/>
  <c r="B546" i="18" s="1"/>
  <c r="B547" i="18" s="1"/>
  <c r="B548" i="18" s="1"/>
  <c r="B549" i="18" s="1"/>
  <c r="B550" i="18" s="1"/>
  <c r="B551" i="18" s="1"/>
  <c r="B552" i="18" s="1"/>
  <c r="B553" i="18" s="1"/>
  <c r="B554" i="18" s="1"/>
  <c r="B555" i="18" s="1"/>
  <c r="B556" i="18" s="1"/>
  <c r="B557" i="18" s="1"/>
  <c r="B558" i="18" s="1"/>
  <c r="B559" i="18" s="1"/>
  <c r="B560" i="18" s="1"/>
  <c r="B561" i="18" s="1"/>
  <c r="B562" i="18" s="1"/>
  <c r="B563" i="18" s="1"/>
  <c r="B564" i="18" s="1"/>
  <c r="B565" i="18" s="1"/>
  <c r="B566" i="18" s="1"/>
  <c r="B567" i="18" s="1"/>
  <c r="B568" i="18" s="1"/>
  <c r="B569" i="18" s="1"/>
  <c r="B570" i="18" s="1"/>
  <c r="B571" i="18" s="1"/>
  <c r="B572" i="18" s="1"/>
  <c r="B573" i="18" s="1"/>
  <c r="B574" i="18" s="1"/>
  <c r="B575" i="18" s="1"/>
  <c r="B576" i="18" s="1"/>
  <c r="B577" i="18" s="1"/>
  <c r="B578" i="18" s="1"/>
  <c r="B579" i="18" s="1"/>
  <c r="B580" i="18" s="1"/>
  <c r="B581" i="18" s="1"/>
  <c r="B582" i="18" s="1"/>
  <c r="B583" i="18" s="1"/>
  <c r="B584" i="18" s="1"/>
  <c r="B585" i="18" s="1"/>
  <c r="B586" i="18" s="1"/>
  <c r="B587" i="18" s="1"/>
  <c r="B588" i="18" s="1"/>
  <c r="B589" i="18" s="1"/>
  <c r="B590" i="18" s="1"/>
  <c r="B591" i="18" s="1"/>
  <c r="B592" i="18" s="1"/>
  <c r="B593" i="18" s="1"/>
  <c r="B594" i="18" s="1"/>
  <c r="B595" i="18" s="1"/>
  <c r="B596" i="18" s="1"/>
  <c r="B597" i="18" s="1"/>
  <c r="B598" i="18" s="1"/>
  <c r="B599" i="18" s="1"/>
  <c r="B600" i="18" s="1"/>
  <c r="B601" i="18" s="1"/>
  <c r="B602" i="18" s="1"/>
  <c r="B603" i="18" s="1"/>
  <c r="B604" i="18" s="1"/>
  <c r="B605" i="18" s="1"/>
  <c r="B606" i="18" s="1"/>
  <c r="B607" i="18" s="1"/>
  <c r="B608" i="18" s="1"/>
  <c r="B609" i="18" s="1"/>
  <c r="B610" i="18" s="1"/>
  <c r="B611" i="18" s="1"/>
  <c r="B612" i="18" s="1"/>
  <c r="B613" i="18" s="1"/>
  <c r="B614" i="18" s="1"/>
  <c r="B615" i="18" s="1"/>
  <c r="B616" i="18" s="1"/>
  <c r="B617" i="18" s="1"/>
  <c r="B618" i="18" s="1"/>
  <c r="B619" i="18" s="1"/>
  <c r="B620" i="18" s="1"/>
  <c r="B621" i="18" s="1"/>
  <c r="B456" i="18"/>
  <c r="B457" i="18" s="1"/>
  <c r="B458" i="18" s="1"/>
  <c r="B459" i="18" s="1"/>
  <c r="B460" i="18" s="1"/>
  <c r="B461" i="18" s="1"/>
  <c r="B462" i="18" s="1"/>
  <c r="B463" i="18" s="1"/>
  <c r="B464" i="18" s="1"/>
  <c r="B465" i="18" s="1"/>
  <c r="B466" i="18" s="1"/>
  <c r="B467" i="18" s="1"/>
  <c r="B468" i="18" s="1"/>
  <c r="B469" i="18" s="1"/>
  <c r="B470" i="18" s="1"/>
  <c r="B471" i="18" s="1"/>
  <c r="B472" i="18" s="1"/>
  <c r="B473" i="18" s="1"/>
  <c r="B474" i="18" s="1"/>
  <c r="B475" i="18" s="1"/>
  <c r="B476" i="18" s="1"/>
  <c r="B477" i="18" s="1"/>
  <c r="B478" i="18" s="1"/>
  <c r="B479" i="18" s="1"/>
  <c r="B480" i="18" s="1"/>
  <c r="B481" i="18" s="1"/>
  <c r="B482" i="18" s="1"/>
  <c r="B483" i="18" s="1"/>
  <c r="B484" i="18" s="1"/>
  <c r="B485" i="18" s="1"/>
  <c r="B486" i="18" s="1"/>
  <c r="B487" i="18" s="1"/>
  <c r="B488" i="18" s="1"/>
  <c r="B489" i="18" s="1"/>
  <c r="B490" i="18" s="1"/>
  <c r="B491" i="18" s="1"/>
  <c r="B492" i="18" s="1"/>
  <c r="B493" i="18" s="1"/>
  <c r="B494" i="18" s="1"/>
  <c r="B495" i="18" s="1"/>
  <c r="B496" i="18" s="1"/>
  <c r="B497" i="18" s="1"/>
  <c r="B498" i="18" s="1"/>
  <c r="B499" i="18" s="1"/>
  <c r="B500" i="18" s="1"/>
  <c r="B501" i="18" s="1"/>
  <c r="B502" i="18" s="1"/>
  <c r="B503" i="18" s="1"/>
  <c r="B504" i="18" s="1"/>
  <c r="B505" i="18" s="1"/>
  <c r="B506" i="18" s="1"/>
  <c r="B507" i="18" s="1"/>
  <c r="B508" i="18" s="1"/>
  <c r="B509" i="18" s="1"/>
  <c r="B510" i="18" s="1"/>
  <c r="B511" i="18" s="1"/>
  <c r="B512" i="18" s="1"/>
  <c r="B513" i="18" s="1"/>
  <c r="B514" i="18" s="1"/>
  <c r="B515" i="18" s="1"/>
  <c r="B516" i="18" s="1"/>
  <c r="B517" i="18" s="1"/>
  <c r="B518" i="18" s="1"/>
  <c r="B519" i="18" s="1"/>
  <c r="B520" i="18" s="1"/>
  <c r="B521" i="18" s="1"/>
  <c r="B522" i="18" s="1"/>
  <c r="B523" i="18" s="1"/>
  <c r="B524" i="18" s="1"/>
  <c r="B525" i="18" s="1"/>
  <c r="B526" i="18" s="1"/>
  <c r="B527" i="18" s="1"/>
  <c r="B528" i="18" s="1"/>
  <c r="B529" i="18" s="1"/>
  <c r="B530" i="18" s="1"/>
  <c r="B531" i="18" s="1"/>
  <c r="B532" i="18" s="1"/>
  <c r="B533" i="18" s="1"/>
  <c r="B534" i="18" s="1"/>
  <c r="B367" i="18"/>
  <c r="B368" i="18" s="1"/>
  <c r="B369" i="18" s="1"/>
  <c r="B370" i="18" s="1"/>
  <c r="B371" i="18" s="1"/>
  <c r="B372" i="18" s="1"/>
  <c r="B373" i="18" s="1"/>
  <c r="B374" i="18" s="1"/>
  <c r="B375" i="18" s="1"/>
  <c r="B376" i="18" s="1"/>
  <c r="B377" i="18" s="1"/>
  <c r="B378" i="18" s="1"/>
  <c r="B379" i="18" s="1"/>
  <c r="B380" i="18" s="1"/>
  <c r="B381" i="18" s="1"/>
  <c r="B382" i="18" s="1"/>
  <c r="B383" i="18" s="1"/>
  <c r="B384" i="18" s="1"/>
  <c r="B385" i="18" s="1"/>
  <c r="B386" i="18" s="1"/>
  <c r="B387" i="18" s="1"/>
  <c r="B388" i="18" s="1"/>
  <c r="B389" i="18" s="1"/>
  <c r="B275" i="18"/>
  <c r="B276" i="18" s="1"/>
  <c r="B277" i="18" s="1"/>
  <c r="B278" i="18" s="1"/>
  <c r="B279" i="18" s="1"/>
  <c r="B280" i="18" s="1"/>
  <c r="B281" i="18" s="1"/>
  <c r="B282" i="18" s="1"/>
  <c r="B283" i="18" s="1"/>
  <c r="B284" i="18" s="1"/>
  <c r="B285" i="18" s="1"/>
  <c r="B286" i="18" s="1"/>
  <c r="B287" i="18" s="1"/>
  <c r="B288" i="18" s="1"/>
  <c r="B289" i="18" s="1"/>
  <c r="B290" i="18" s="1"/>
  <c r="B291" i="18" s="1"/>
  <c r="B292" i="18" s="1"/>
  <c r="B293" i="18" s="1"/>
  <c r="B294" i="18" s="1"/>
  <c r="B295" i="18" s="1"/>
  <c r="B296" i="18" s="1"/>
  <c r="B297" i="18" s="1"/>
  <c r="B298" i="18" s="1"/>
  <c r="B299" i="18" s="1"/>
  <c r="B300" i="18" s="1"/>
  <c r="B301" i="18" s="1"/>
  <c r="B302" i="18" s="1"/>
  <c r="B303" i="18" s="1"/>
  <c r="B304" i="18" s="1"/>
  <c r="B305" i="18" s="1"/>
  <c r="B306" i="18" s="1"/>
  <c r="B307" i="18" s="1"/>
  <c r="B308" i="18" s="1"/>
  <c r="B309" i="18" s="1"/>
  <c r="B310" i="18" s="1"/>
  <c r="B311" i="18" s="1"/>
  <c r="B312" i="18" s="1"/>
  <c r="B313" i="18" s="1"/>
  <c r="B314" i="18" s="1"/>
  <c r="B315" i="18" s="1"/>
  <c r="B316" i="18" s="1"/>
  <c r="B317" i="18" s="1"/>
  <c r="B318" i="18" s="1"/>
  <c r="B319" i="18" s="1"/>
  <c r="B320" i="18" s="1"/>
  <c r="B321" i="18" s="1"/>
  <c r="B322" i="18" s="1"/>
  <c r="B323" i="18" s="1"/>
  <c r="B324" i="18" s="1"/>
  <c r="B325" i="18" s="1"/>
  <c r="B326" i="18" s="1"/>
  <c r="B327" i="18" s="1"/>
  <c r="B328" i="18" s="1"/>
  <c r="B329" i="18" s="1"/>
  <c r="B330" i="18" s="1"/>
  <c r="B331" i="18" s="1"/>
  <c r="B332" i="18" s="1"/>
  <c r="B333" i="18" s="1"/>
  <c r="B334" i="18" s="1"/>
  <c r="B335" i="18" s="1"/>
  <c r="B336" i="18" s="1"/>
  <c r="B337" i="18" s="1"/>
  <c r="B338" i="18" s="1"/>
  <c r="B339" i="18" s="1"/>
  <c r="B340" i="18" s="1"/>
  <c r="B341" i="18" s="1"/>
  <c r="B342" i="18" s="1"/>
  <c r="B343" i="18" s="1"/>
  <c r="B344" i="18" s="1"/>
  <c r="B345" i="18" s="1"/>
  <c r="B346" i="18" s="1"/>
  <c r="B347" i="18" s="1"/>
  <c r="B348" i="18" s="1"/>
  <c r="B349" i="18" s="1"/>
  <c r="B350" i="18" s="1"/>
  <c r="B351" i="18" s="1"/>
  <c r="B352" i="18" s="1"/>
  <c r="B353" i="18" s="1"/>
  <c r="B188" i="18"/>
  <c r="B189" i="18" s="1"/>
  <c r="B190" i="18" s="1"/>
  <c r="B191" i="18" s="1"/>
  <c r="B192" i="18" s="1"/>
  <c r="B193" i="18" s="1"/>
  <c r="B194" i="18" s="1"/>
  <c r="B195" i="18" s="1"/>
  <c r="B196" i="18" s="1"/>
  <c r="B197" i="18" s="1"/>
  <c r="B198" i="18" s="1"/>
  <c r="B199" i="18" s="1"/>
  <c r="B200" i="18" s="1"/>
  <c r="B201" i="18" s="1"/>
  <c r="B202" i="18" s="1"/>
  <c r="B203" i="18" s="1"/>
  <c r="B204" i="18" s="1"/>
  <c r="B205" i="18" s="1"/>
  <c r="B206" i="18" s="1"/>
  <c r="B207" i="18" s="1"/>
  <c r="B208" i="18" s="1"/>
  <c r="B209" i="18" s="1"/>
  <c r="B210" i="18" s="1"/>
  <c r="B211" i="18" s="1"/>
  <c r="B212" i="18" s="1"/>
  <c r="B213" i="18" s="1"/>
  <c r="B214" i="18" s="1"/>
  <c r="B215" i="18" s="1"/>
  <c r="B216" i="18" s="1"/>
  <c r="B217" i="18" s="1"/>
  <c r="B218" i="18" s="1"/>
  <c r="B219" i="18" s="1"/>
  <c r="B220" i="18" s="1"/>
  <c r="B221" i="18" s="1"/>
  <c r="B222" i="18" s="1"/>
  <c r="B223" i="18" s="1"/>
  <c r="B224" i="18" s="1"/>
  <c r="B225" i="18" s="1"/>
  <c r="B226" i="18" s="1"/>
  <c r="B227" i="18" s="1"/>
  <c r="B228" i="18" s="1"/>
  <c r="B229" i="18" s="1"/>
  <c r="B230" i="18" s="1"/>
  <c r="B231" i="18" s="1"/>
  <c r="B232" i="18" s="1"/>
  <c r="B233" i="18" s="1"/>
  <c r="B234" i="18" s="1"/>
  <c r="B235" i="18" s="1"/>
  <c r="B236" i="18" s="1"/>
  <c r="B237" i="18" s="1"/>
  <c r="B238" i="18" s="1"/>
  <c r="B239" i="18" s="1"/>
  <c r="B240" i="18" s="1"/>
  <c r="B241" i="18" s="1"/>
  <c r="B242" i="18" s="1"/>
  <c r="B243" i="18" s="1"/>
  <c r="B244" i="18" s="1"/>
  <c r="B245" i="18" s="1"/>
  <c r="B246" i="18" s="1"/>
  <c r="B247" i="18" s="1"/>
  <c r="B248" i="18" s="1"/>
  <c r="B249" i="18" s="1"/>
  <c r="B250" i="18" s="1"/>
  <c r="B251" i="18" s="1"/>
  <c r="B252" i="18" s="1"/>
  <c r="B253" i="18" s="1"/>
  <c r="B254" i="18" s="1"/>
  <c r="B255" i="18" s="1"/>
  <c r="B256" i="18" s="1"/>
  <c r="B257" i="18" s="1"/>
  <c r="B258" i="18" s="1"/>
  <c r="B259" i="18" s="1"/>
  <c r="B260" i="18" s="1"/>
  <c r="B261" i="18" s="1"/>
  <c r="B262" i="18" s="1"/>
  <c r="B263" i="18" s="1"/>
  <c r="B264" i="18" s="1"/>
  <c r="B265" i="18" s="1"/>
  <c r="B266" i="18" s="1"/>
  <c r="B102" i="18"/>
  <c r="B103" i="18" s="1"/>
  <c r="B104" i="18" s="1"/>
  <c r="B105" i="18" s="1"/>
  <c r="B106" i="18" s="1"/>
  <c r="B107" i="18" s="1"/>
  <c r="B108" i="18" s="1"/>
  <c r="B109" i="18" s="1"/>
  <c r="B110" i="18" s="1"/>
  <c r="B111" i="18" s="1"/>
  <c r="B112" i="18" s="1"/>
  <c r="B113" i="18" s="1"/>
  <c r="B114" i="18" s="1"/>
  <c r="B115" i="18" s="1"/>
  <c r="B116" i="18" s="1"/>
  <c r="B117" i="18" s="1"/>
  <c r="B118" i="18" s="1"/>
  <c r="B119" i="18" s="1"/>
  <c r="B120" i="18" s="1"/>
  <c r="B121" i="18" s="1"/>
  <c r="B122" i="18" s="1"/>
  <c r="B123" i="18" s="1"/>
  <c r="B124" i="18" s="1"/>
  <c r="B125" i="18" s="1"/>
  <c r="B126" i="18" s="1"/>
  <c r="B127" i="18" s="1"/>
  <c r="B128" i="18" s="1"/>
  <c r="B129" i="18" s="1"/>
  <c r="B130" i="18" s="1"/>
  <c r="B131" i="18" s="1"/>
  <c r="B132" i="18" s="1"/>
  <c r="B133" i="18" s="1"/>
  <c r="B134" i="18" s="1"/>
  <c r="B135" i="18" s="1"/>
  <c r="B136" i="18" s="1"/>
  <c r="B137" i="18" s="1"/>
  <c r="B138" i="18" s="1"/>
  <c r="B139" i="18" s="1"/>
  <c r="B140" i="18" s="1"/>
  <c r="B141" i="18" s="1"/>
  <c r="B142" i="18" s="1"/>
  <c r="B143" i="18" s="1"/>
  <c r="B144" i="18" s="1"/>
  <c r="B145" i="18" s="1"/>
  <c r="B146" i="18" s="1"/>
  <c r="B147" i="18" s="1"/>
  <c r="B148" i="18" s="1"/>
  <c r="B149" i="18" s="1"/>
  <c r="B150" i="18" s="1"/>
  <c r="B151" i="18" s="1"/>
  <c r="B152" i="18" s="1"/>
  <c r="B153" i="18" s="1"/>
  <c r="B154" i="18" s="1"/>
  <c r="B155" i="18" s="1"/>
  <c r="B156" i="18" s="1"/>
  <c r="B157" i="18" s="1"/>
  <c r="B158" i="18" s="1"/>
  <c r="B159" i="18" s="1"/>
  <c r="B160" i="18" s="1"/>
  <c r="B161" i="18" s="1"/>
  <c r="B162" i="18" s="1"/>
  <c r="B163" i="18" s="1"/>
  <c r="B164" i="18" s="1"/>
  <c r="B165" i="18" s="1"/>
  <c r="B166" i="18" s="1"/>
  <c r="B167" i="18" s="1"/>
  <c r="B168" i="18" s="1"/>
  <c r="B169" i="18" s="1"/>
  <c r="B170" i="18" s="1"/>
  <c r="B171" i="18" s="1"/>
  <c r="B172" i="18" s="1"/>
  <c r="B173" i="18" s="1"/>
  <c r="B174" i="18" s="1"/>
  <c r="B175" i="18" s="1"/>
  <c r="B176" i="18" s="1"/>
  <c r="B177" i="18" s="1"/>
  <c r="B178" i="18" s="1"/>
  <c r="B179" i="18" s="1"/>
  <c r="B76" i="18"/>
  <c r="B77" i="18" s="1"/>
  <c r="B62" i="18"/>
  <c r="B63" i="18" s="1"/>
  <c r="B64" i="18" s="1"/>
  <c r="B65" i="18" s="1"/>
  <c r="B66" i="18" s="1"/>
  <c r="B67" i="18" s="1"/>
  <c r="B68" i="18" s="1"/>
  <c r="B69" i="18" s="1"/>
  <c r="B18" i="18"/>
  <c r="B19" i="18" s="1"/>
  <c r="B20" i="18" s="1"/>
  <c r="B21" i="18" s="1"/>
  <c r="B22" i="18" s="1"/>
  <c r="B23" i="18" s="1"/>
  <c r="B24" i="18" s="1"/>
  <c r="B25" i="18" s="1"/>
  <c r="B26" i="18" s="1"/>
  <c r="B27" i="18" s="1"/>
  <c r="B28" i="18" s="1"/>
  <c r="B29" i="18" s="1"/>
  <c r="B30" i="18" s="1"/>
  <c r="B31" i="18" s="1"/>
  <c r="B32" i="18" s="1"/>
  <c r="B33" i="18" s="1"/>
  <c r="B34" i="18" s="1"/>
  <c r="B35" i="18" s="1"/>
  <c r="B36" i="18" s="1"/>
  <c r="B37" i="18" s="1"/>
  <c r="B38" i="18" s="1"/>
  <c r="B39" i="18" s="1"/>
  <c r="B40" i="18" s="1"/>
  <c r="B41" i="18" s="1"/>
  <c r="B42" i="18" s="1"/>
  <c r="B43" i="18" s="1"/>
  <c r="B44" i="18" s="1"/>
  <c r="B45" i="18" s="1"/>
  <c r="B46" i="18" s="1"/>
  <c r="B47" i="18" s="1"/>
  <c r="B48" i="18" s="1"/>
  <c r="B49" i="18" s="1"/>
  <c r="B50" i="18" s="1"/>
  <c r="B51" i="18" s="1"/>
  <c r="B52" i="18" s="1"/>
  <c r="B53" i="18" s="1"/>
  <c r="B54" i="18" s="1"/>
  <c r="B55" i="18" s="1"/>
  <c r="B662" i="17"/>
  <c r="B663" i="17" s="1"/>
  <c r="B664" i="17" s="1"/>
  <c r="B665" i="17" s="1"/>
  <c r="B666" i="17" s="1"/>
  <c r="B667" i="17" s="1"/>
  <c r="B668" i="17" s="1"/>
  <c r="B669" i="17" s="1"/>
  <c r="B670" i="17" s="1"/>
  <c r="B671" i="17" s="1"/>
  <c r="B672" i="17" s="1"/>
  <c r="B673" i="17" s="1"/>
  <c r="B674" i="17" s="1"/>
  <c r="B675" i="17" s="1"/>
  <c r="B676" i="17" s="1"/>
  <c r="B677" i="17" s="1"/>
  <c r="B678" i="17" s="1"/>
  <c r="B679" i="17" s="1"/>
  <c r="B680" i="17" s="1"/>
  <c r="B681" i="17" s="1"/>
  <c r="B682" i="17" s="1"/>
  <c r="B683" i="17" s="1"/>
  <c r="B684" i="17" s="1"/>
  <c r="B685" i="17" s="1"/>
  <c r="B686" i="17" s="1"/>
  <c r="B687" i="17" s="1"/>
  <c r="B688" i="17" s="1"/>
  <c r="B689" i="17" s="1"/>
  <c r="B690" i="17" s="1"/>
  <c r="B691" i="17" s="1"/>
  <c r="B692" i="17" s="1"/>
  <c r="B693" i="17" s="1"/>
  <c r="B694" i="17" s="1"/>
  <c r="B695" i="17" s="1"/>
  <c r="B696" i="17" s="1"/>
  <c r="B697" i="17" s="1"/>
  <c r="B698" i="17" s="1"/>
  <c r="B699" i="17" s="1"/>
  <c r="B700" i="17" s="1"/>
  <c r="B701" i="17" s="1"/>
  <c r="B702" i="17" s="1"/>
  <c r="B703" i="17" s="1"/>
  <c r="B704" i="17" s="1"/>
  <c r="B705" i="17" s="1"/>
  <c r="B706" i="17" s="1"/>
  <c r="B707" i="17" s="1"/>
  <c r="B708" i="17" s="1"/>
  <c r="B709" i="17" s="1"/>
  <c r="B710" i="17" s="1"/>
  <c r="B711" i="17" s="1"/>
  <c r="B712" i="17" s="1"/>
  <c r="B713" i="17" s="1"/>
  <c r="B714" i="17" s="1"/>
  <c r="B715" i="17" s="1"/>
  <c r="B716" i="17" s="1"/>
  <c r="B717" i="17" s="1"/>
  <c r="B718" i="17" s="1"/>
  <c r="B719" i="17" s="1"/>
  <c r="B720" i="17" s="1"/>
  <c r="B721" i="17" s="1"/>
  <c r="B722" i="17" s="1"/>
  <c r="B723" i="17" s="1"/>
  <c r="B724" i="17" s="1"/>
  <c r="B725" i="17" s="1"/>
  <c r="B726" i="17" s="1"/>
  <c r="B727" i="17" s="1"/>
  <c r="B728" i="17" s="1"/>
  <c r="B729" i="17" s="1"/>
  <c r="B730" i="17" s="1"/>
  <c r="B731" i="17" s="1"/>
  <c r="B732" i="17" s="1"/>
  <c r="B733" i="17" s="1"/>
  <c r="B734" i="17" s="1"/>
  <c r="B735" i="17" s="1"/>
  <c r="B736" i="17" s="1"/>
  <c r="B737" i="17" s="1"/>
  <c r="B738" i="17" s="1"/>
  <c r="B739" i="17" s="1"/>
  <c r="B740" i="17" s="1"/>
  <c r="J659" i="17"/>
  <c r="B572" i="17"/>
  <c r="B573" i="17" s="1"/>
  <c r="B574" i="17" s="1"/>
  <c r="B575" i="17" s="1"/>
  <c r="B576" i="17" s="1"/>
  <c r="B577" i="17" s="1"/>
  <c r="B578" i="17" s="1"/>
  <c r="B579" i="17" s="1"/>
  <c r="B580" i="17" s="1"/>
  <c r="B581" i="17" s="1"/>
  <c r="B582" i="17" s="1"/>
  <c r="B583" i="17" s="1"/>
  <c r="B584" i="17" s="1"/>
  <c r="B585" i="17" s="1"/>
  <c r="B586" i="17" s="1"/>
  <c r="B587" i="17" s="1"/>
  <c r="B588" i="17" s="1"/>
  <c r="B589" i="17" s="1"/>
  <c r="B590" i="17" s="1"/>
  <c r="B591" i="17" s="1"/>
  <c r="B592" i="17" s="1"/>
  <c r="B593" i="17" s="1"/>
  <c r="B594" i="17" s="1"/>
  <c r="B595" i="17" s="1"/>
  <c r="B596" i="17" s="1"/>
  <c r="B597" i="17" s="1"/>
  <c r="B598" i="17" s="1"/>
  <c r="B599" i="17" s="1"/>
  <c r="B600" i="17" s="1"/>
  <c r="B601" i="17" s="1"/>
  <c r="B602" i="17" s="1"/>
  <c r="B603" i="17" s="1"/>
  <c r="B604" i="17" s="1"/>
  <c r="B605" i="17" s="1"/>
  <c r="B606" i="17" s="1"/>
  <c r="B607" i="17" s="1"/>
  <c r="B608" i="17" s="1"/>
  <c r="B609" i="17" s="1"/>
  <c r="B610" i="17" s="1"/>
  <c r="B611" i="17" s="1"/>
  <c r="B612" i="17" s="1"/>
  <c r="B613" i="17" s="1"/>
  <c r="B614" i="17" s="1"/>
  <c r="B615" i="17" s="1"/>
  <c r="B616" i="17" s="1"/>
  <c r="B617" i="17" s="1"/>
  <c r="B618" i="17" s="1"/>
  <c r="B619" i="17" s="1"/>
  <c r="B620" i="17" s="1"/>
  <c r="B621" i="17" s="1"/>
  <c r="B622" i="17" s="1"/>
  <c r="B623" i="17" s="1"/>
  <c r="B624" i="17" s="1"/>
  <c r="B625" i="17" s="1"/>
  <c r="B626" i="17" s="1"/>
  <c r="B627" i="17" s="1"/>
  <c r="B628" i="17" s="1"/>
  <c r="B629" i="17" s="1"/>
  <c r="B630" i="17" s="1"/>
  <c r="B631" i="17" s="1"/>
  <c r="B632" i="17" s="1"/>
  <c r="B633" i="17" s="1"/>
  <c r="B634" i="17" s="1"/>
  <c r="B635" i="17" s="1"/>
  <c r="B636" i="17" s="1"/>
  <c r="B637" i="17" s="1"/>
  <c r="B638" i="17" s="1"/>
  <c r="B639" i="17" s="1"/>
  <c r="B640" i="17" s="1"/>
  <c r="B641" i="17" s="1"/>
  <c r="B642" i="17" s="1"/>
  <c r="B643" i="17" s="1"/>
  <c r="B644" i="17" s="1"/>
  <c r="B645" i="17" s="1"/>
  <c r="B646" i="17" s="1"/>
  <c r="B647" i="17" s="1"/>
  <c r="B648" i="17" s="1"/>
  <c r="B649" i="17" s="1"/>
  <c r="B650" i="17" s="1"/>
  <c r="B483" i="17"/>
  <c r="B484" i="17" s="1"/>
  <c r="B485" i="17" s="1"/>
  <c r="B486" i="17" s="1"/>
  <c r="B487" i="17" s="1"/>
  <c r="B488" i="17" s="1"/>
  <c r="B489" i="17" s="1"/>
  <c r="B490" i="17" s="1"/>
  <c r="B491" i="17" s="1"/>
  <c r="B492" i="17" s="1"/>
  <c r="B493" i="17" s="1"/>
  <c r="B494" i="17" s="1"/>
  <c r="B495" i="17" s="1"/>
  <c r="B496" i="17" s="1"/>
  <c r="B497" i="17" s="1"/>
  <c r="B498" i="17" s="1"/>
  <c r="B499" i="17" s="1"/>
  <c r="B500" i="17" s="1"/>
  <c r="B501" i="17" s="1"/>
  <c r="B502" i="17" s="1"/>
  <c r="B503" i="17" s="1"/>
  <c r="B504" i="17" s="1"/>
  <c r="B505" i="17" s="1"/>
  <c r="B506" i="17" s="1"/>
  <c r="B507" i="17" s="1"/>
  <c r="B508" i="17" s="1"/>
  <c r="B509" i="17" s="1"/>
  <c r="B510" i="17" s="1"/>
  <c r="B511" i="17" s="1"/>
  <c r="B512" i="17" s="1"/>
  <c r="B513" i="17" s="1"/>
  <c r="B514" i="17" s="1"/>
  <c r="B515" i="17" s="1"/>
  <c r="B516" i="17" s="1"/>
  <c r="B517" i="17" s="1"/>
  <c r="B518" i="17" s="1"/>
  <c r="B519" i="17" s="1"/>
  <c r="B520" i="17" s="1"/>
  <c r="B521" i="17" s="1"/>
  <c r="B522" i="17" s="1"/>
  <c r="B523" i="17" s="1"/>
  <c r="B524" i="17" s="1"/>
  <c r="B525" i="17" s="1"/>
  <c r="B526" i="17" s="1"/>
  <c r="B527" i="17" s="1"/>
  <c r="B528" i="17" s="1"/>
  <c r="B529" i="17" s="1"/>
  <c r="B530" i="17" s="1"/>
  <c r="B531" i="17" s="1"/>
  <c r="B532" i="17" s="1"/>
  <c r="B533" i="17" s="1"/>
  <c r="B534" i="17" s="1"/>
  <c r="B535" i="17" s="1"/>
  <c r="B536" i="17" s="1"/>
  <c r="B537" i="17" s="1"/>
  <c r="B538" i="17" s="1"/>
  <c r="B539" i="17" s="1"/>
  <c r="B540" i="17" s="1"/>
  <c r="B541" i="17" s="1"/>
  <c r="B542" i="17" s="1"/>
  <c r="B543" i="17" s="1"/>
  <c r="B544" i="17" s="1"/>
  <c r="B545" i="17" s="1"/>
  <c r="B546" i="17" s="1"/>
  <c r="B547" i="17" s="1"/>
  <c r="B548" i="17" s="1"/>
  <c r="B549" i="17" s="1"/>
  <c r="B550" i="17" s="1"/>
  <c r="B551" i="17" s="1"/>
  <c r="B552" i="17" s="1"/>
  <c r="B553" i="17" s="1"/>
  <c r="B554" i="17" s="1"/>
  <c r="B555" i="17" s="1"/>
  <c r="B556" i="17" s="1"/>
  <c r="B557" i="17" s="1"/>
  <c r="B558" i="17" s="1"/>
  <c r="B559" i="17" s="1"/>
  <c r="B560" i="17" s="1"/>
  <c r="B561" i="17" s="1"/>
  <c r="A474" i="17"/>
  <c r="A1" i="17" s="1"/>
  <c r="T421" i="17"/>
  <c r="BW421" i="17" s="1"/>
  <c r="T420" i="17"/>
  <c r="BW420" i="17" s="1"/>
  <c r="T411" i="17"/>
  <c r="BW411" i="17" s="1"/>
  <c r="T405" i="17"/>
  <c r="BW405" i="17" s="1"/>
  <c r="T404" i="17"/>
  <c r="BW404" i="17" s="1"/>
  <c r="T403" i="17"/>
  <c r="BW403" i="17" s="1"/>
  <c r="T402" i="17"/>
  <c r="BW402" i="17" s="1"/>
  <c r="T395" i="17"/>
  <c r="BW395" i="17" s="1"/>
  <c r="T394" i="17"/>
  <c r="BW394" i="17" s="1"/>
  <c r="T393" i="17"/>
  <c r="BW393" i="17" s="1"/>
  <c r="T392" i="17"/>
  <c r="BW392" i="17" s="1"/>
  <c r="B392" i="17"/>
  <c r="B393" i="17" s="1"/>
  <c r="B394" i="17" s="1"/>
  <c r="B395" i="17" s="1"/>
  <c r="B396" i="17" s="1"/>
  <c r="B397" i="17" s="1"/>
  <c r="B398" i="17" s="1"/>
  <c r="B399" i="17" s="1"/>
  <c r="B400" i="17" s="1"/>
  <c r="B401" i="17" s="1"/>
  <c r="B402" i="17" s="1"/>
  <c r="B403" i="17" s="1"/>
  <c r="B404" i="17" s="1"/>
  <c r="B405" i="17" s="1"/>
  <c r="B406" i="17" s="1"/>
  <c r="B407" i="17" s="1"/>
  <c r="B408" i="17" s="1"/>
  <c r="B409" i="17" s="1"/>
  <c r="B410" i="17" s="1"/>
  <c r="B411" i="17" s="1"/>
  <c r="B412" i="17" s="1"/>
  <c r="B413" i="17" s="1"/>
  <c r="B414" i="17" s="1"/>
  <c r="B415" i="17" s="1"/>
  <c r="B416" i="17" s="1"/>
  <c r="B417" i="17" s="1"/>
  <c r="B418" i="17" s="1"/>
  <c r="B419" i="17" s="1"/>
  <c r="B420" i="17" s="1"/>
  <c r="B421" i="17" s="1"/>
  <c r="B422" i="17" s="1"/>
  <c r="B423" i="17" s="1"/>
  <c r="B424" i="17" s="1"/>
  <c r="B425" i="17" s="1"/>
  <c r="B426" i="17" s="1"/>
  <c r="B427" i="17" s="1"/>
  <c r="B428" i="17" s="1"/>
  <c r="B429" i="17" s="1"/>
  <c r="B430" i="17" s="1"/>
  <c r="B431" i="17" s="1"/>
  <c r="B432" i="17" s="1"/>
  <c r="B433" i="17" s="1"/>
  <c r="B434" i="17" s="1"/>
  <c r="B435" i="17" s="1"/>
  <c r="B436" i="17" s="1"/>
  <c r="B437" i="17" s="1"/>
  <c r="B438" i="17" s="1"/>
  <c r="B439" i="17" s="1"/>
  <c r="B440" i="17" s="1"/>
  <c r="B441" i="17" s="1"/>
  <c r="B442" i="17" s="1"/>
  <c r="B443" i="17" s="1"/>
  <c r="B444" i="17" s="1"/>
  <c r="B445" i="17" s="1"/>
  <c r="B446" i="17" s="1"/>
  <c r="B447" i="17" s="1"/>
  <c r="B448" i="17" s="1"/>
  <c r="B449" i="17" s="1"/>
  <c r="B450" i="17" s="1"/>
  <c r="B451" i="17" s="1"/>
  <c r="B452" i="17" s="1"/>
  <c r="B453" i="17" s="1"/>
  <c r="B454" i="17" s="1"/>
  <c r="B455" i="17" s="1"/>
  <c r="B456" i="17" s="1"/>
  <c r="B457" i="17" s="1"/>
  <c r="B458" i="17" s="1"/>
  <c r="B459" i="17" s="1"/>
  <c r="B460" i="17" s="1"/>
  <c r="B461" i="17" s="1"/>
  <c r="B462" i="17" s="1"/>
  <c r="B463" i="17" s="1"/>
  <c r="B464" i="17" s="1"/>
  <c r="B465" i="17" s="1"/>
  <c r="B466" i="17" s="1"/>
  <c r="B467" i="17" s="1"/>
  <c r="T391" i="17"/>
  <c r="BW391" i="17" s="1"/>
  <c r="T321" i="17"/>
  <c r="T320" i="17"/>
  <c r="T311" i="17"/>
  <c r="T305" i="17"/>
  <c r="T304" i="17"/>
  <c r="T303" i="17"/>
  <c r="T302" i="17"/>
  <c r="T295" i="17"/>
  <c r="T294" i="17"/>
  <c r="T293" i="17"/>
  <c r="T292" i="17"/>
  <c r="B292" i="17"/>
  <c r="B293" i="17" s="1"/>
  <c r="B294" i="17" s="1"/>
  <c r="B295" i="17" s="1"/>
  <c r="B296" i="17" s="1"/>
  <c r="B297" i="17" s="1"/>
  <c r="B298" i="17" s="1"/>
  <c r="B299" i="17" s="1"/>
  <c r="B300" i="17" s="1"/>
  <c r="B301" i="17" s="1"/>
  <c r="B302" i="17" s="1"/>
  <c r="B303" i="17" s="1"/>
  <c r="B304" i="17" s="1"/>
  <c r="B305" i="17" s="1"/>
  <c r="B306" i="17" s="1"/>
  <c r="B307" i="17" s="1"/>
  <c r="B308" i="17" s="1"/>
  <c r="B309" i="17" s="1"/>
  <c r="B310" i="17" s="1"/>
  <c r="B311" i="17" s="1"/>
  <c r="B312" i="17" s="1"/>
  <c r="B313" i="17" s="1"/>
  <c r="B314" i="17" s="1"/>
  <c r="B315" i="17" s="1"/>
  <c r="B316" i="17" s="1"/>
  <c r="B317" i="17" s="1"/>
  <c r="B318" i="17" s="1"/>
  <c r="B319" i="17" s="1"/>
  <c r="B320" i="17" s="1"/>
  <c r="B321" i="17" s="1"/>
  <c r="B322" i="17" s="1"/>
  <c r="B323" i="17" s="1"/>
  <c r="B324" i="17" s="1"/>
  <c r="B325" i="17" s="1"/>
  <c r="B326" i="17" s="1"/>
  <c r="B327" i="17" s="1"/>
  <c r="B328" i="17" s="1"/>
  <c r="B329" i="17" s="1"/>
  <c r="B330" i="17" s="1"/>
  <c r="B331" i="17" s="1"/>
  <c r="B332" i="17" s="1"/>
  <c r="B333" i="17" s="1"/>
  <c r="B334" i="17" s="1"/>
  <c r="B335" i="17" s="1"/>
  <c r="B336" i="17" s="1"/>
  <c r="B337" i="17" s="1"/>
  <c r="B338" i="17" s="1"/>
  <c r="B339" i="17" s="1"/>
  <c r="B340" i="17" s="1"/>
  <c r="B341" i="17" s="1"/>
  <c r="B342" i="17" s="1"/>
  <c r="B343" i="17" s="1"/>
  <c r="B344" i="17" s="1"/>
  <c r="B345" i="17" s="1"/>
  <c r="B346" i="17" s="1"/>
  <c r="B347" i="17" s="1"/>
  <c r="B348" i="17" s="1"/>
  <c r="B349" i="17" s="1"/>
  <c r="B350" i="17" s="1"/>
  <c r="B351" i="17" s="1"/>
  <c r="B352" i="17" s="1"/>
  <c r="B353" i="17" s="1"/>
  <c r="B354" i="17" s="1"/>
  <c r="B355" i="17" s="1"/>
  <c r="B356" i="17" s="1"/>
  <c r="B357" i="17" s="1"/>
  <c r="B358" i="17" s="1"/>
  <c r="B359" i="17" s="1"/>
  <c r="B360" i="17" s="1"/>
  <c r="B361" i="17" s="1"/>
  <c r="B362" i="17" s="1"/>
  <c r="B363" i="17" s="1"/>
  <c r="B364" i="17" s="1"/>
  <c r="B365" i="17" s="1"/>
  <c r="B366" i="17" s="1"/>
  <c r="B367" i="17" s="1"/>
  <c r="B368" i="17" s="1"/>
  <c r="B369" i="17" s="1"/>
  <c r="B370" i="17" s="1"/>
  <c r="B371" i="17" s="1"/>
  <c r="B372" i="17" s="1"/>
  <c r="B373" i="17" s="1"/>
  <c r="B374" i="17" s="1"/>
  <c r="B375" i="17" s="1"/>
  <c r="T291" i="17"/>
  <c r="B291" i="17"/>
  <c r="BD287" i="17"/>
  <c r="AV287" i="17"/>
  <c r="AU287" i="17"/>
  <c r="AT287" i="17"/>
  <c r="AS287" i="17"/>
  <c r="AR287" i="17"/>
  <c r="AQ287" i="17"/>
  <c r="AP287" i="17"/>
  <c r="AO287" i="17"/>
  <c r="AN287" i="17"/>
  <c r="AM287" i="17"/>
  <c r="AL287" i="17"/>
  <c r="AK287" i="17"/>
  <c r="AJ287" i="17"/>
  <c r="AI287" i="17"/>
  <c r="AF287" i="17"/>
  <c r="AE287" i="17"/>
  <c r="AD287" i="17"/>
  <c r="AC287" i="17"/>
  <c r="AB287" i="17"/>
  <c r="AA287" i="17"/>
  <c r="X287" i="17"/>
  <c r="A276" i="17"/>
  <c r="B193" i="17"/>
  <c r="B194" i="17" s="1"/>
  <c r="B195" i="17" s="1"/>
  <c r="B196" i="17" s="1"/>
  <c r="B197" i="17" s="1"/>
  <c r="B198" i="17" s="1"/>
  <c r="B199" i="17" s="1"/>
  <c r="B200" i="17" s="1"/>
  <c r="B201" i="17" s="1"/>
  <c r="B202" i="17" s="1"/>
  <c r="B203" i="17" s="1"/>
  <c r="B204" i="17" s="1"/>
  <c r="B205" i="17" s="1"/>
  <c r="B206" i="17" s="1"/>
  <c r="B207" i="17" s="1"/>
  <c r="B208" i="17" s="1"/>
  <c r="B209" i="17" s="1"/>
  <c r="B210" i="17" s="1"/>
  <c r="B211" i="17" s="1"/>
  <c r="B212" i="17" s="1"/>
  <c r="B213" i="17" s="1"/>
  <c r="B214" i="17" s="1"/>
  <c r="B215" i="17" s="1"/>
  <c r="B216" i="17" s="1"/>
  <c r="B217" i="17" s="1"/>
  <c r="B218" i="17" s="1"/>
  <c r="B219" i="17" s="1"/>
  <c r="B220" i="17" s="1"/>
  <c r="B221" i="17" s="1"/>
  <c r="B222" i="17" s="1"/>
  <c r="B223" i="17" s="1"/>
  <c r="B224" i="17" s="1"/>
  <c r="B225" i="17" s="1"/>
  <c r="B226" i="17" s="1"/>
  <c r="B227" i="17" s="1"/>
  <c r="B228" i="17" s="1"/>
  <c r="B229" i="17" s="1"/>
  <c r="B230" i="17" s="1"/>
  <c r="B231" i="17" s="1"/>
  <c r="B232" i="17" s="1"/>
  <c r="B233" i="17" s="1"/>
  <c r="B234" i="17" s="1"/>
  <c r="B235" i="17" s="1"/>
  <c r="B236" i="17" s="1"/>
  <c r="B237" i="17" s="1"/>
  <c r="B238" i="17" s="1"/>
  <c r="B239" i="17" s="1"/>
  <c r="B240" i="17" s="1"/>
  <c r="B241" i="17" s="1"/>
  <c r="B242" i="17" s="1"/>
  <c r="B243" i="17" s="1"/>
  <c r="B244" i="17" s="1"/>
  <c r="B245" i="17" s="1"/>
  <c r="B246" i="17" s="1"/>
  <c r="B247" i="17" s="1"/>
  <c r="B248" i="17" s="1"/>
  <c r="B249" i="17" s="1"/>
  <c r="B250" i="17" s="1"/>
  <c r="B251" i="17" s="1"/>
  <c r="B252" i="17" s="1"/>
  <c r="B253" i="17" s="1"/>
  <c r="B254" i="17" s="1"/>
  <c r="B255" i="17" s="1"/>
  <c r="B256" i="17" s="1"/>
  <c r="B257" i="17" s="1"/>
  <c r="B258" i="17" s="1"/>
  <c r="B259" i="17" s="1"/>
  <c r="B260" i="17" s="1"/>
  <c r="B261" i="17" s="1"/>
  <c r="B262" i="17" s="1"/>
  <c r="B263" i="17" s="1"/>
  <c r="B264" i="17" s="1"/>
  <c r="B265" i="17" s="1"/>
  <c r="B266" i="17" s="1"/>
  <c r="B267" i="17" s="1"/>
  <c r="B268" i="17" s="1"/>
  <c r="B269" i="17" s="1"/>
  <c r="B270" i="17" s="1"/>
  <c r="B271" i="17" s="1"/>
  <c r="B272" i="17" s="1"/>
  <c r="B273" i="17" s="1"/>
  <c r="B192" i="17"/>
  <c r="B103" i="17"/>
  <c r="B104" i="17" s="1"/>
  <c r="B105" i="17" s="1"/>
  <c r="B106" i="17" s="1"/>
  <c r="B107" i="17" s="1"/>
  <c r="B108" i="17" s="1"/>
  <c r="B109" i="17" s="1"/>
  <c r="B110" i="17" s="1"/>
  <c r="B111" i="17" s="1"/>
  <c r="B112" i="17" s="1"/>
  <c r="B113" i="17" s="1"/>
  <c r="B114" i="17" s="1"/>
  <c r="B115" i="17" s="1"/>
  <c r="B116" i="17" s="1"/>
  <c r="B117" i="17" s="1"/>
  <c r="B118" i="17" s="1"/>
  <c r="B119" i="17" s="1"/>
  <c r="B120" i="17" s="1"/>
  <c r="B121" i="17" s="1"/>
  <c r="B122" i="17" s="1"/>
  <c r="B123" i="17" s="1"/>
  <c r="B124" i="17" s="1"/>
  <c r="B125" i="17" s="1"/>
  <c r="B126" i="17" s="1"/>
  <c r="B127" i="17" s="1"/>
  <c r="B128" i="17" s="1"/>
  <c r="B129" i="17" s="1"/>
  <c r="B130" i="17" s="1"/>
  <c r="B131" i="17" s="1"/>
  <c r="B132" i="17" s="1"/>
  <c r="B133" i="17" s="1"/>
  <c r="B134" i="17" s="1"/>
  <c r="B135" i="17" s="1"/>
  <c r="B136" i="17" s="1"/>
  <c r="B137" i="17" s="1"/>
  <c r="B138" i="17" s="1"/>
  <c r="B139" i="17" s="1"/>
  <c r="B140" i="17" s="1"/>
  <c r="B141" i="17" s="1"/>
  <c r="B142" i="17" s="1"/>
  <c r="B143" i="17" s="1"/>
  <c r="B144" i="17" s="1"/>
  <c r="B145" i="17" s="1"/>
  <c r="B146" i="17" s="1"/>
  <c r="B147" i="17" s="1"/>
  <c r="B148" i="17" s="1"/>
  <c r="B149" i="17" s="1"/>
  <c r="B150" i="17" s="1"/>
  <c r="B151" i="17" s="1"/>
  <c r="B152" i="17" s="1"/>
  <c r="B153" i="17" s="1"/>
  <c r="B154" i="17" s="1"/>
  <c r="B155" i="17" s="1"/>
  <c r="B156" i="17" s="1"/>
  <c r="B157" i="17" s="1"/>
  <c r="B158" i="17" s="1"/>
  <c r="B159" i="17" s="1"/>
  <c r="B160" i="17" s="1"/>
  <c r="B161" i="17" s="1"/>
  <c r="B162" i="17" s="1"/>
  <c r="B163" i="17" s="1"/>
  <c r="B164" i="17" s="1"/>
  <c r="B165" i="17" s="1"/>
  <c r="B166" i="17" s="1"/>
  <c r="B167" i="17" s="1"/>
  <c r="B168" i="17" s="1"/>
  <c r="B169" i="17" s="1"/>
  <c r="B170" i="17" s="1"/>
  <c r="B171" i="17" s="1"/>
  <c r="B172" i="17" s="1"/>
  <c r="B173" i="17" s="1"/>
  <c r="B174" i="17" s="1"/>
  <c r="B175" i="17" s="1"/>
  <c r="B176" i="17" s="1"/>
  <c r="B177" i="17" s="1"/>
  <c r="B178" i="17" s="1"/>
  <c r="B10" i="17"/>
  <c r="B11" i="17" s="1"/>
  <c r="B12" i="17" s="1"/>
  <c r="B13" i="17" s="1"/>
  <c r="B14" i="17" s="1"/>
  <c r="B15" i="17" s="1"/>
  <c r="B16" i="17" s="1"/>
  <c r="B17" i="17" s="1"/>
  <c r="B18" i="17" s="1"/>
  <c r="B19" i="17" s="1"/>
  <c r="B20" i="17" s="1"/>
  <c r="B21" i="17" s="1"/>
  <c r="B22" i="17" s="1"/>
  <c r="B23" i="17" s="1"/>
  <c r="B24" i="17" s="1"/>
  <c r="B25" i="17" s="1"/>
  <c r="B26" i="17" s="1"/>
  <c r="B27" i="17" s="1"/>
  <c r="B28" i="17" s="1"/>
  <c r="B29" i="17" s="1"/>
  <c r="B30" i="17" s="1"/>
  <c r="B31" i="17" s="1"/>
  <c r="B32" i="17" s="1"/>
  <c r="B33" i="17" s="1"/>
  <c r="B34" i="17" s="1"/>
  <c r="B35" i="17" s="1"/>
  <c r="B36" i="17" s="1"/>
  <c r="B37" i="17" s="1"/>
  <c r="B38" i="17" s="1"/>
  <c r="B39" i="17" s="1"/>
  <c r="B40" i="17" s="1"/>
  <c r="B41" i="17" s="1"/>
  <c r="B42" i="17" s="1"/>
  <c r="B43" i="17" s="1"/>
  <c r="B44" i="17" s="1"/>
  <c r="B45" i="17" s="1"/>
  <c r="B46" i="17" s="1"/>
  <c r="B47" i="17" s="1"/>
  <c r="B48" i="17" s="1"/>
  <c r="B49" i="17" s="1"/>
  <c r="B50" i="17" s="1"/>
  <c r="B51" i="17" s="1"/>
  <c r="B52" i="17" s="1"/>
  <c r="B53" i="17" s="1"/>
  <c r="B54" i="17" s="1"/>
  <c r="B55" i="17" s="1"/>
  <c r="B56" i="17" s="1"/>
  <c r="B57" i="17" s="1"/>
  <c r="B58" i="17" s="1"/>
  <c r="B59" i="17" s="1"/>
  <c r="B60" i="17" s="1"/>
  <c r="B61" i="17" s="1"/>
  <c r="B62" i="17" s="1"/>
  <c r="B63" i="17" s="1"/>
  <c r="B64" i="17" s="1"/>
  <c r="B65" i="17" s="1"/>
  <c r="B66" i="17" s="1"/>
  <c r="B67" i="17" s="1"/>
  <c r="B68" i="17" s="1"/>
  <c r="B69" i="17" s="1"/>
  <c r="B70" i="17" s="1"/>
  <c r="B71" i="17" s="1"/>
  <c r="B72" i="17" s="1"/>
  <c r="B73" i="17" s="1"/>
  <c r="B74" i="17" s="1"/>
  <c r="B75" i="17" s="1"/>
  <c r="B76" i="17" s="1"/>
  <c r="B77" i="17" s="1"/>
  <c r="B78" i="17" s="1"/>
  <c r="B79" i="17" s="1"/>
  <c r="B80" i="17" s="1"/>
  <c r="B81" i="17" s="1"/>
  <c r="B82" i="17" s="1"/>
  <c r="B83" i="17" s="1"/>
  <c r="B84" i="17" s="1"/>
  <c r="B85" i="17" s="1"/>
  <c r="B86" i="17" s="1"/>
  <c r="B87" i="17" s="1"/>
  <c r="B88" i="17" s="1"/>
  <c r="B89" i="17" s="1"/>
  <c r="B90" i="17" s="1"/>
  <c r="B91" i="17" s="1"/>
  <c r="B92" i="17" s="1"/>
  <c r="B9" i="17"/>
  <c r="I46" i="7" l="1"/>
  <c r="H51" i="7"/>
  <c r="B390" i="18"/>
  <c r="B391" i="18" s="1"/>
  <c r="B392" i="18" s="1"/>
  <c r="B393" i="18" s="1"/>
  <c r="B394" i="18" s="1"/>
  <c r="B395" i="18" s="1"/>
  <c r="B396" i="18" s="1"/>
  <c r="B397" i="18" s="1"/>
  <c r="B398" i="18" s="1"/>
  <c r="B399" i="18" s="1"/>
  <c r="B400" i="18" s="1"/>
  <c r="B401" i="18" s="1"/>
  <c r="B402" i="18" s="1"/>
  <c r="B403" i="18" s="1"/>
  <c r="B404" i="18" s="1"/>
  <c r="B405" i="18" s="1"/>
  <c r="B406" i="18" s="1"/>
  <c r="B407" i="18" s="1"/>
  <c r="B409" i="18" s="1"/>
  <c r="B410" i="18" s="1"/>
  <c r="B411" i="18" s="1"/>
  <c r="B412" i="18" s="1"/>
  <c r="B413" i="18" s="1"/>
  <c r="B414" i="18" s="1"/>
  <c r="B415" i="18" s="1"/>
  <c r="B416" i="18" s="1"/>
  <c r="B417" i="18" s="1"/>
  <c r="B418" i="18" s="1"/>
  <c r="B419" i="18" s="1"/>
  <c r="B420" i="18" s="1"/>
  <c r="B421" i="18" s="1"/>
  <c r="B422" i="18" s="1"/>
  <c r="B423" i="18" s="1"/>
  <c r="B424" i="18" s="1"/>
  <c r="B425" i="18" s="1"/>
  <c r="B426" i="18" s="1"/>
  <c r="B427" i="18" s="1"/>
  <c r="B428" i="18" s="1"/>
  <c r="B429" i="18" s="1"/>
  <c r="B430" i="18" s="1"/>
  <c r="B431" i="18" s="1"/>
  <c r="B432" i="18" s="1"/>
  <c r="B433" i="18" s="1"/>
  <c r="B434" i="18" s="1"/>
  <c r="B435" i="18" s="1"/>
  <c r="B436" i="18" s="1"/>
  <c r="B437" i="18" s="1"/>
  <c r="B438" i="18" s="1"/>
  <c r="B439" i="18" s="1"/>
  <c r="B440" i="18" s="1"/>
  <c r="B441" i="18" s="1"/>
  <c r="B442" i="18" s="1"/>
  <c r="B443" i="18" s="1"/>
  <c r="B444" i="18" s="1"/>
  <c r="B445" i="18" s="1"/>
  <c r="B446" i="18" s="1"/>
  <c r="B447" i="18" s="1"/>
  <c r="I43" i="7"/>
  <c r="H42" i="7"/>
  <c r="H40" i="7"/>
  <c r="I32" i="7"/>
  <c r="I45" i="7"/>
  <c r="I30" i="7"/>
  <c r="I24" i="7"/>
  <c r="H44" i="7"/>
  <c r="I34" i="7"/>
  <c r="I53" i="7"/>
  <c r="I21" i="7"/>
  <c r="H55" i="7"/>
  <c r="H32" i="7"/>
  <c r="I35" i="7"/>
  <c r="M149" i="7"/>
  <c r="H47" i="7"/>
  <c r="H31" i="7"/>
  <c r="I48" i="7"/>
  <c r="H33" i="7"/>
  <c r="H29" i="7"/>
  <c r="I52" i="7"/>
  <c r="H43" i="7"/>
  <c r="H24" i="7"/>
  <c r="I44" i="7"/>
  <c r="I22" i="7"/>
  <c r="H34" i="7"/>
  <c r="I33" i="7"/>
  <c r="G280" i="7"/>
  <c r="I51" i="7"/>
  <c r="J51" i="7" s="1"/>
  <c r="H53" i="7"/>
  <c r="H19" i="7"/>
  <c r="H41" i="7"/>
  <c r="I39" i="7"/>
  <c r="H25" i="7"/>
  <c r="I26" i="7"/>
  <c r="I54" i="7"/>
  <c r="I17" i="7"/>
  <c r="I31" i="7"/>
  <c r="I28" i="7"/>
  <c r="H22" i="7"/>
  <c r="H35" i="7"/>
  <c r="G115" i="7"/>
  <c r="G117" i="7"/>
  <c r="G118" i="7"/>
  <c r="F108" i="7"/>
  <c r="F109" i="7"/>
  <c r="F110" i="7"/>
  <c r="F112" i="7"/>
  <c r="F113" i="7"/>
  <c r="F116" i="7"/>
  <c r="F117" i="7"/>
  <c r="G108" i="7"/>
  <c r="G109" i="7"/>
  <c r="G111" i="7"/>
  <c r="G112" i="7"/>
  <c r="G113" i="7"/>
  <c r="G116" i="7"/>
  <c r="F115" i="7"/>
  <c r="F111" i="7"/>
  <c r="F114" i="7"/>
  <c r="F118" i="7"/>
  <c r="G107" i="7"/>
  <c r="F107" i="7"/>
  <c r="G110" i="7"/>
  <c r="G114" i="7"/>
  <c r="H30" i="7"/>
  <c r="I49" i="7"/>
  <c r="I29" i="7"/>
  <c r="I38" i="7"/>
  <c r="I36" i="7"/>
  <c r="H26" i="7"/>
  <c r="I41" i="7"/>
  <c r="I315" i="7"/>
  <c r="K310" i="7" s="1"/>
  <c r="H46" i="7"/>
  <c r="I42" i="7"/>
  <c r="I55" i="7"/>
  <c r="H49" i="7"/>
  <c r="H48" i="7"/>
  <c r="H38" i="7"/>
  <c r="H27" i="7"/>
  <c r="H315" i="7"/>
  <c r="J310" i="7" s="1"/>
  <c r="H37" i="7"/>
  <c r="H21" i="7"/>
  <c r="I25" i="7"/>
  <c r="H23" i="7"/>
  <c r="I19" i="7"/>
  <c r="I20" i="7"/>
  <c r="H54" i="7"/>
  <c r="H45" i="7"/>
  <c r="H50" i="7"/>
  <c r="H28" i="7"/>
  <c r="H52" i="7"/>
  <c r="I40" i="7"/>
  <c r="G300" i="7"/>
  <c r="M152" i="7"/>
  <c r="G284" i="7"/>
  <c r="M151" i="7"/>
  <c r="G283" i="7"/>
  <c r="I47" i="7"/>
  <c r="G299" i="7"/>
  <c r="H20" i="7"/>
  <c r="G302" i="7"/>
  <c r="I27" i="7"/>
  <c r="G293" i="7"/>
  <c r="M150" i="7"/>
  <c r="G282" i="7"/>
  <c r="G294" i="7"/>
  <c r="G292" i="7"/>
  <c r="H17" i="7"/>
  <c r="M153" i="7"/>
  <c r="G285" i="7"/>
  <c r="M145" i="7"/>
  <c r="G277" i="7"/>
  <c r="AH181" i="7"/>
  <c r="G313" i="7"/>
  <c r="AL180" i="7"/>
  <c r="G312" i="7"/>
  <c r="G295" i="7"/>
  <c r="X182" i="7"/>
  <c r="G314" i="7"/>
  <c r="G306" i="7"/>
  <c r="H36" i="7"/>
  <c r="M156" i="7"/>
  <c r="G288" i="7"/>
  <c r="M157" i="7"/>
  <c r="G289" i="7"/>
  <c r="G291" i="7"/>
  <c r="G298" i="7"/>
  <c r="M154" i="7"/>
  <c r="G286" i="7"/>
  <c r="G305" i="7"/>
  <c r="M158" i="7"/>
  <c r="G290" i="7"/>
  <c r="G307" i="7"/>
  <c r="M155" i="7"/>
  <c r="G287" i="7"/>
  <c r="G297" i="7"/>
  <c r="G304" i="7"/>
  <c r="X177" i="7"/>
  <c r="G309" i="7"/>
  <c r="U178" i="7"/>
  <c r="G310" i="7"/>
  <c r="G303" i="7"/>
  <c r="AC179" i="7"/>
  <c r="G311" i="7"/>
  <c r="G301" i="7"/>
  <c r="X176" i="7"/>
  <c r="G308" i="7"/>
  <c r="G296" i="7"/>
  <c r="AK178" i="7"/>
  <c r="AB178" i="7"/>
  <c r="Y178" i="7"/>
  <c r="R178" i="7"/>
  <c r="AC181" i="7"/>
  <c r="AK181" i="7"/>
  <c r="AF181" i="7"/>
  <c r="E199" i="6"/>
  <c r="E198" i="6"/>
  <c r="E197" i="6"/>
  <c r="E196" i="6"/>
  <c r="E192" i="6"/>
  <c r="E195" i="6"/>
  <c r="E194" i="6"/>
  <c r="E193" i="6"/>
  <c r="E191" i="6"/>
  <c r="E190" i="6"/>
  <c r="E189" i="6"/>
  <c r="E188" i="6"/>
  <c r="E186" i="6"/>
  <c r="E184" i="6"/>
  <c r="E183" i="6"/>
  <c r="E182" i="6"/>
  <c r="E187" i="6"/>
  <c r="E185" i="6"/>
  <c r="E181" i="6"/>
  <c r="E180" i="6"/>
  <c r="E21" i="6"/>
  <c r="E43" i="6"/>
  <c r="E23" i="6"/>
  <c r="E24" i="6"/>
  <c r="E46" i="6"/>
  <c r="E25" i="6"/>
  <c r="E47" i="6"/>
  <c r="E48" i="6"/>
  <c r="E27" i="6"/>
  <c r="E49" i="6"/>
  <c r="E56" i="6"/>
  <c r="E22" i="6"/>
  <c r="E44" i="6"/>
  <c r="E45" i="6"/>
  <c r="E26" i="6"/>
  <c r="E57" i="6"/>
  <c r="E28" i="6"/>
  <c r="E50" i="6"/>
  <c r="E29" i="6"/>
  <c r="E51" i="6"/>
  <c r="E30" i="6"/>
  <c r="E52" i="6"/>
  <c r="E31" i="6"/>
  <c r="E53" i="6"/>
  <c r="E32" i="6"/>
  <c r="E54" i="6"/>
  <c r="E33" i="6"/>
  <c r="E55" i="6"/>
  <c r="E34" i="6"/>
  <c r="E35" i="6"/>
  <c r="E38" i="6"/>
  <c r="E36" i="6"/>
  <c r="E96" i="6"/>
  <c r="E93" i="6"/>
  <c r="E37" i="6"/>
  <c r="E95" i="6"/>
  <c r="E94" i="6"/>
  <c r="E88" i="6"/>
  <c r="E87" i="6"/>
  <c r="E59" i="6"/>
  <c r="E67" i="6"/>
  <c r="E71" i="6"/>
  <c r="E97" i="6"/>
  <c r="E74" i="6"/>
  <c r="E100" i="6"/>
  <c r="E75" i="6"/>
  <c r="E101" i="6"/>
  <c r="E76" i="6"/>
  <c r="E102" i="6"/>
  <c r="E77" i="6"/>
  <c r="E72" i="6"/>
  <c r="E98" i="6"/>
  <c r="E73" i="6"/>
  <c r="E99" i="6"/>
  <c r="E103" i="6"/>
  <c r="E85" i="6"/>
  <c r="E78" i="6"/>
  <c r="E104" i="6"/>
  <c r="E79" i="6"/>
  <c r="E105" i="6"/>
  <c r="E80" i="6"/>
  <c r="E81" i="6"/>
  <c r="E82" i="6"/>
  <c r="E83" i="6"/>
  <c r="E84" i="6"/>
  <c r="E58" i="6"/>
  <c r="E42" i="6"/>
  <c r="E41" i="6"/>
  <c r="E40" i="6"/>
  <c r="E39" i="6"/>
  <c r="E70" i="6"/>
  <c r="E91" i="6"/>
  <c r="E69" i="6"/>
  <c r="E92" i="6"/>
  <c r="E90" i="6"/>
  <c r="E68" i="6"/>
  <c r="E89" i="6"/>
  <c r="J55" i="7" l="1"/>
  <c r="J53" i="7"/>
  <c r="K314" i="7"/>
  <c r="K312" i="7"/>
  <c r="K313" i="7"/>
  <c r="K311" i="7"/>
  <c r="J52" i="7"/>
  <c r="Q181" i="7"/>
  <c r="AJ181" i="7"/>
  <c r="AG181" i="7"/>
  <c r="V181" i="7"/>
  <c r="AL179" i="7"/>
  <c r="Y179" i="7"/>
  <c r="AE178" i="7"/>
  <c r="R181" i="7"/>
  <c r="Q178" i="7"/>
  <c r="AA178" i="7"/>
  <c r="V178" i="7"/>
  <c r="AJ178" i="7"/>
  <c r="J54" i="7"/>
  <c r="T182" i="7"/>
  <c r="AD182" i="7"/>
  <c r="X181" i="7"/>
  <c r="R179" i="7"/>
  <c r="R180" i="7"/>
  <c r="W178" i="7"/>
  <c r="Q180" i="7"/>
  <c r="AJ179" i="7"/>
  <c r="X178" i="7"/>
  <c r="AB180" i="7"/>
  <c r="W179" i="7"/>
  <c r="Z178" i="7"/>
  <c r="Q179" i="7"/>
  <c r="J313" i="7"/>
  <c r="V180" i="7"/>
  <c r="J311" i="7"/>
  <c r="Y180" i="7"/>
  <c r="V179" i="7"/>
  <c r="AC178" i="7"/>
  <c r="J314" i="7"/>
  <c r="T181" i="7"/>
  <c r="X179" i="7"/>
  <c r="AG179" i="7"/>
  <c r="AF178" i="7"/>
  <c r="J312" i="7"/>
  <c r="AH179" i="7"/>
  <c r="AD180" i="7"/>
  <c r="AA179" i="7"/>
  <c r="AH178" i="7"/>
  <c r="AG180" i="7"/>
  <c r="T179" i="7"/>
  <c r="T178" i="7"/>
  <c r="AF179" i="7"/>
  <c r="AD178" i="7"/>
  <c r="AH180" i="7"/>
  <c r="AD179" i="7"/>
  <c r="AL178" i="7"/>
  <c r="AF182" i="7"/>
  <c r="AA180" i="7"/>
  <c r="AB181" i="7"/>
  <c r="AK182" i="7"/>
  <c r="AG182" i="7"/>
  <c r="Q182" i="7"/>
  <c r="AK180" i="7"/>
  <c r="Z181" i="7"/>
  <c r="AB179" i="7"/>
  <c r="AI182" i="7"/>
  <c r="T180" i="7"/>
  <c r="AI181" i="7"/>
  <c r="AK179" i="7"/>
  <c r="S182" i="7"/>
  <c r="X180" i="7"/>
  <c r="AL182" i="7"/>
  <c r="W181" i="7"/>
  <c r="AI179" i="7"/>
  <c r="AA182" i="7"/>
  <c r="AE180" i="7"/>
  <c r="AA181" i="7"/>
  <c r="S179" i="7"/>
  <c r="AJ182" i="7"/>
  <c r="AI178" i="7"/>
  <c r="U182" i="7"/>
  <c r="U181" i="7"/>
  <c r="W180" i="7"/>
  <c r="AL181" i="7"/>
  <c r="AE179" i="7"/>
  <c r="Y182" i="7"/>
  <c r="S178" i="7"/>
  <c r="AB182" i="7"/>
  <c r="U180" i="7"/>
  <c r="V182" i="7"/>
  <c r="AC182" i="7"/>
  <c r="AF180" i="7"/>
  <c r="Z182" i="7"/>
  <c r="AJ180" i="7"/>
  <c r="R182" i="7"/>
  <c r="AD181" i="7"/>
  <c r="Z180" i="7"/>
  <c r="S181" i="7"/>
  <c r="AE182" i="7"/>
  <c r="AI180" i="7"/>
  <c r="AE181" i="7"/>
  <c r="Z179" i="7"/>
  <c r="W182" i="7"/>
  <c r="S180" i="7"/>
  <c r="AC180" i="7"/>
  <c r="Y181" i="7"/>
  <c r="U179" i="7"/>
  <c r="AH182" i="7"/>
  <c r="AG178" i="7"/>
  <c r="F42" i="6"/>
  <c r="O42" i="6" s="1"/>
  <c r="O88" i="6" s="1"/>
  <c r="G42" i="6"/>
  <c r="F31" i="6"/>
  <c r="O31" i="6" s="1"/>
  <c r="O77" i="6" s="1"/>
  <c r="G31" i="6"/>
  <c r="G21" i="6"/>
  <c r="F21" i="6"/>
  <c r="G58" i="6"/>
  <c r="G104" i="6" s="1"/>
  <c r="F58" i="6"/>
  <c r="F104" i="6" s="1"/>
  <c r="C104" i="6" s="1"/>
  <c r="F52" i="6"/>
  <c r="P52" i="6" s="1"/>
  <c r="P98" i="6" s="1"/>
  <c r="G52" i="6"/>
  <c r="F30" i="6"/>
  <c r="O30" i="6" s="1"/>
  <c r="O76" i="6" s="1"/>
  <c r="G30" i="6"/>
  <c r="F51" i="6"/>
  <c r="P51" i="6" s="1"/>
  <c r="P97" i="6" s="1"/>
  <c r="G51" i="6"/>
  <c r="F29" i="6"/>
  <c r="P29" i="6" s="1"/>
  <c r="P75" i="6" s="1"/>
  <c r="G29" i="6"/>
  <c r="G59" i="6"/>
  <c r="G105" i="6" s="1"/>
  <c r="F59" i="6"/>
  <c r="F105" i="6" s="1"/>
  <c r="C105" i="6" s="1"/>
  <c r="F50" i="6"/>
  <c r="P50" i="6" s="1"/>
  <c r="P96" i="6" s="1"/>
  <c r="G50" i="6"/>
  <c r="F28" i="6"/>
  <c r="P28" i="6" s="1"/>
  <c r="P74" i="6" s="1"/>
  <c r="G28" i="6"/>
  <c r="G57" i="6"/>
  <c r="G103" i="6" s="1"/>
  <c r="F57" i="6"/>
  <c r="F103" i="6" s="1"/>
  <c r="C103" i="6" s="1"/>
  <c r="F26" i="6"/>
  <c r="P26" i="6" s="1"/>
  <c r="P72" i="6" s="1"/>
  <c r="G26" i="6"/>
  <c r="F45" i="6"/>
  <c r="O45" i="6" s="1"/>
  <c r="O91" i="6" s="1"/>
  <c r="G45" i="6"/>
  <c r="G37" i="6"/>
  <c r="F37" i="6"/>
  <c r="O37" i="6" s="1"/>
  <c r="O83" i="6" s="1"/>
  <c r="F44" i="6"/>
  <c r="O44" i="6" s="1"/>
  <c r="O90" i="6" s="1"/>
  <c r="G44" i="6"/>
  <c r="F22" i="6"/>
  <c r="O22" i="6" s="1"/>
  <c r="O68" i="6" s="1"/>
  <c r="G22" i="6"/>
  <c r="G56" i="6"/>
  <c r="G102" i="6" s="1"/>
  <c r="F56" i="6"/>
  <c r="F102" i="6" s="1"/>
  <c r="C102" i="6" s="1"/>
  <c r="G36" i="6"/>
  <c r="F36" i="6"/>
  <c r="O36" i="6" s="1"/>
  <c r="O82" i="6" s="1"/>
  <c r="G49" i="6"/>
  <c r="F49" i="6"/>
  <c r="P49" i="6" s="1"/>
  <c r="P95" i="6" s="1"/>
  <c r="G38" i="6"/>
  <c r="F38" i="6"/>
  <c r="O38" i="6" s="1"/>
  <c r="O84" i="6" s="1"/>
  <c r="F27" i="6"/>
  <c r="P27" i="6" s="1"/>
  <c r="P73" i="6" s="1"/>
  <c r="G27" i="6"/>
  <c r="G35" i="6"/>
  <c r="F35" i="6"/>
  <c r="O35" i="6" s="1"/>
  <c r="O81" i="6" s="1"/>
  <c r="G48" i="6"/>
  <c r="F48" i="6"/>
  <c r="P48" i="6" s="1"/>
  <c r="P94" i="6" s="1"/>
  <c r="F34" i="6"/>
  <c r="P34" i="6" s="1"/>
  <c r="P80" i="6" s="1"/>
  <c r="G34" i="6"/>
  <c r="F47" i="6"/>
  <c r="P47" i="6" s="1"/>
  <c r="P93" i="6" s="1"/>
  <c r="G47" i="6"/>
  <c r="G55" i="6"/>
  <c r="G101" i="6" s="1"/>
  <c r="F55" i="6"/>
  <c r="F101" i="6" s="1"/>
  <c r="C101" i="6" s="1"/>
  <c r="F25" i="6"/>
  <c r="O25" i="6" s="1"/>
  <c r="O71" i="6" s="1"/>
  <c r="G25" i="6"/>
  <c r="F33" i="6"/>
  <c r="P33" i="6" s="1"/>
  <c r="P79" i="6" s="1"/>
  <c r="G33" i="6"/>
  <c r="F46" i="6"/>
  <c r="O46" i="6" s="1"/>
  <c r="O92" i="6" s="1"/>
  <c r="G46" i="6"/>
  <c r="G39" i="6"/>
  <c r="F39" i="6"/>
  <c r="O39" i="6" s="1"/>
  <c r="O85" i="6" s="1"/>
  <c r="F54" i="6"/>
  <c r="O54" i="6" s="1"/>
  <c r="O100" i="6" s="1"/>
  <c r="G54" i="6"/>
  <c r="F24" i="6"/>
  <c r="P24" i="6" s="1"/>
  <c r="P70" i="6" s="1"/>
  <c r="G24" i="6"/>
  <c r="F40" i="6"/>
  <c r="P40" i="6" s="1"/>
  <c r="P86" i="6" s="1"/>
  <c r="G40" i="6"/>
  <c r="O40" i="6"/>
  <c r="O86" i="6" s="1"/>
  <c r="F32" i="6"/>
  <c r="P32" i="6" s="1"/>
  <c r="P78" i="6" s="1"/>
  <c r="G32" i="6"/>
  <c r="F23" i="6"/>
  <c r="O23" i="6" s="1"/>
  <c r="O69" i="6" s="1"/>
  <c r="G23" i="6"/>
  <c r="G41" i="6"/>
  <c r="F41" i="6"/>
  <c r="O41" i="6" s="1"/>
  <c r="O87" i="6" s="1"/>
  <c r="P41" i="6"/>
  <c r="P87" i="6" s="1"/>
  <c r="F53" i="6"/>
  <c r="P53" i="6" s="1"/>
  <c r="P99" i="6" s="1"/>
  <c r="G53" i="6"/>
  <c r="F43" i="6"/>
  <c r="O43" i="6" s="1"/>
  <c r="O89" i="6" s="1"/>
  <c r="G43" i="6"/>
  <c r="C56" i="6" l="1"/>
  <c r="P46" i="6"/>
  <c r="P92" i="6" s="1"/>
  <c r="O28" i="6"/>
  <c r="O74" i="6" s="1"/>
  <c r="C59" i="6"/>
  <c r="C58" i="6"/>
  <c r="O49" i="6"/>
  <c r="O95" i="6" s="1"/>
  <c r="C55" i="6"/>
  <c r="C57" i="6"/>
  <c r="P42" i="6"/>
  <c r="P88" i="6" s="1"/>
  <c r="P44" i="6"/>
  <c r="P90" i="6" s="1"/>
  <c r="O29" i="6"/>
  <c r="O75" i="6" s="1"/>
  <c r="Q117" i="11" s="1"/>
  <c r="O33" i="6"/>
  <c r="O79" i="6" s="1"/>
  <c r="O24" i="6"/>
  <c r="O70" i="6" s="1"/>
  <c r="P56" i="6"/>
  <c r="P102" i="6" s="1"/>
  <c r="O59" i="6"/>
  <c r="O105" i="6" s="1"/>
  <c r="P45" i="6"/>
  <c r="P91" i="6" s="1"/>
  <c r="O52" i="6"/>
  <c r="O98" i="6" s="1"/>
  <c r="O27" i="6"/>
  <c r="O73" i="6" s="1"/>
  <c r="O53" i="6"/>
  <c r="O99" i="6" s="1"/>
  <c r="P23" i="6"/>
  <c r="P69" i="6" s="1"/>
  <c r="P38" i="6"/>
  <c r="P84" i="6" s="1"/>
  <c r="O47" i="6"/>
  <c r="O93" i="6" s="1"/>
  <c r="P55" i="6"/>
  <c r="P101" i="6" s="1"/>
  <c r="O50" i="6"/>
  <c r="O96" i="6" s="1"/>
  <c r="P37" i="6"/>
  <c r="P83" i="6" s="1"/>
  <c r="P58" i="6"/>
  <c r="P104" i="6" s="1"/>
  <c r="P54" i="6"/>
  <c r="P100" i="6" s="1"/>
  <c r="P39" i="6"/>
  <c r="P85" i="6" s="1"/>
  <c r="P59" i="6"/>
  <c r="P105" i="6" s="1"/>
  <c r="O58" i="6"/>
  <c r="O104" i="6" s="1"/>
  <c r="O55" i="6"/>
  <c r="O101" i="6" s="1"/>
  <c r="O34" i="6"/>
  <c r="O80" i="6" s="1"/>
  <c r="P36" i="6"/>
  <c r="P82" i="6" s="1"/>
  <c r="P21" i="6"/>
  <c r="O48" i="6"/>
  <c r="O94" i="6" s="1"/>
  <c r="O26" i="6"/>
  <c r="O72" i="6" s="1"/>
  <c r="P30" i="6"/>
  <c r="P76" i="6" s="1"/>
  <c r="O32" i="6"/>
  <c r="O78" i="6" s="1"/>
  <c r="O51" i="6"/>
  <c r="O97" i="6" s="1"/>
  <c r="P31" i="6"/>
  <c r="P77" i="6" s="1"/>
  <c r="P35" i="6"/>
  <c r="P81" i="6" s="1"/>
  <c r="O56" i="6"/>
  <c r="O102" i="6" s="1"/>
  <c r="P57" i="6"/>
  <c r="P103" i="6" s="1"/>
  <c r="P43" i="6"/>
  <c r="P89" i="6" s="1"/>
  <c r="P25" i="6"/>
  <c r="P71" i="6" s="1"/>
  <c r="P22" i="6"/>
  <c r="P68" i="6" s="1"/>
  <c r="O57" i="6"/>
  <c r="O103" i="6" s="1"/>
  <c r="P67" i="6" l="1"/>
  <c r="P66" i="6" s="1"/>
  <c r="P20" i="6"/>
  <c r="O20" i="6"/>
  <c r="C418" i="7"/>
  <c r="C419" i="7" s="1"/>
  <c r="C420" i="7" s="1"/>
  <c r="C421" i="7" s="1"/>
  <c r="C422" i="7" s="1"/>
  <c r="C423" i="7" s="1"/>
  <c r="C424" i="7" s="1"/>
  <c r="AH5" i="8" l="1"/>
  <c r="AD5" i="8"/>
  <c r="AC5" i="8"/>
  <c r="AB5" i="8"/>
  <c r="AA5" i="8"/>
  <c r="Z5" i="8"/>
  <c r="Y5" i="8"/>
  <c r="X5" i="8"/>
  <c r="W5" i="8"/>
  <c r="AR5" i="8"/>
  <c r="V5" i="8"/>
  <c r="AQ5" i="8"/>
  <c r="U5" i="8"/>
  <c r="AP5" i="8"/>
  <c r="T5" i="8"/>
  <c r="AO5" i="8"/>
  <c r="S5" i="8"/>
  <c r="AN5" i="8"/>
  <c r="R5" i="8"/>
  <c r="AM5" i="8"/>
  <c r="Q5" i="8"/>
  <c r="AL5" i="8"/>
  <c r="P5" i="8"/>
  <c r="AK5" i="8"/>
  <c r="O5" i="8"/>
  <c r="AJ5" i="8"/>
  <c r="N5" i="8"/>
  <c r="AI5" i="8"/>
  <c r="M5" i="8"/>
  <c r="L5" i="8"/>
  <c r="AG5" i="8"/>
  <c r="K5" i="8"/>
  <c r="AF5" i="8"/>
  <c r="AE5" i="8"/>
  <c r="C407" i="7"/>
  <c r="C408" i="7" s="1"/>
  <c r="C409" i="7" s="1"/>
  <c r="C410" i="7" s="1"/>
  <c r="C411" i="7" s="1"/>
  <c r="C412" i="7" s="1"/>
  <c r="C413" i="7" s="1"/>
  <c r="K345" i="7"/>
  <c r="F421" i="7" l="1"/>
  <c r="F419" i="7"/>
  <c r="E163" i="6" a="1"/>
  <c r="E163" i="6" s="1"/>
  <c r="E171" i="6" a="1"/>
  <c r="E171" i="6" s="1"/>
  <c r="P163" i="6" l="1"/>
  <c r="O163" i="6"/>
  <c r="E172" i="6"/>
  <c r="E164" i="6"/>
  <c r="O164" i="6" l="1"/>
  <c r="P164" i="6"/>
  <c r="C396" i="7"/>
  <c r="C397" i="7" s="1"/>
  <c r="C398" i="7" s="1"/>
  <c r="C399" i="7" s="1"/>
  <c r="C400" i="7" s="1"/>
  <c r="C401" i="7" s="1"/>
  <c r="C402" i="7" s="1"/>
  <c r="P162" i="6" l="1"/>
  <c r="C211" i="7"/>
  <c r="C212" i="7" s="1"/>
  <c r="C213" i="7" s="1"/>
  <c r="C214" i="7" s="1"/>
  <c r="C215" i="7" s="1"/>
  <c r="C216" i="7" s="1"/>
  <c r="C217" i="7" s="1"/>
  <c r="C218" i="7" s="1"/>
  <c r="C219" i="7" s="1"/>
  <c r="C220" i="7" s="1"/>
  <c r="C221" i="7" s="1"/>
  <c r="C222" i="7" s="1"/>
  <c r="AG185" i="7"/>
  <c r="AH185" i="7"/>
  <c r="AI185" i="7"/>
  <c r="G133" i="11"/>
  <c r="G108" i="11"/>
  <c r="G74" i="11"/>
  <c r="D18" i="11"/>
  <c r="D19" i="11" s="1"/>
  <c r="D20" i="11" s="1"/>
  <c r="D21" i="11" s="1"/>
  <c r="D22" i="11" s="1"/>
  <c r="D23" i="11" s="1"/>
  <c r="D24" i="11" s="1"/>
  <c r="D25" i="11" s="1"/>
  <c r="D26" i="11" s="1"/>
  <c r="D27" i="11" s="1"/>
  <c r="D28" i="11" s="1"/>
  <c r="D29" i="11" s="1"/>
  <c r="D30" i="11" s="1"/>
  <c r="D31" i="11" s="1"/>
  <c r="D32" i="11" s="1"/>
  <c r="D33" i="11" s="1"/>
  <c r="D34" i="11" s="1"/>
  <c r="D35" i="11" s="1"/>
  <c r="D36" i="11" s="1"/>
  <c r="D37" i="11" s="1"/>
  <c r="D38" i="11" s="1"/>
  <c r="D39" i="11" s="1"/>
  <c r="D40" i="11" s="1"/>
  <c r="D41" i="11" s="1"/>
  <c r="D42" i="11" s="1"/>
  <c r="D43" i="11" s="1"/>
  <c r="D44" i="11" s="1"/>
  <c r="D45" i="11" s="1"/>
  <c r="D46" i="11" s="1"/>
  <c r="D47" i="11" s="1"/>
  <c r="D48" i="11" s="1"/>
  <c r="D49" i="11" s="1"/>
  <c r="D50" i="11" s="1"/>
  <c r="D51" i="11" s="1"/>
  <c r="D52" i="11" s="1"/>
  <c r="D53" i="11" s="1"/>
  <c r="D54" i="11" s="1"/>
  <c r="D55" i="11" s="1"/>
  <c r="D56" i="11" s="1"/>
  <c r="D57" i="11" s="1"/>
  <c r="D58" i="11" s="1"/>
  <c r="D59" i="11" s="1"/>
  <c r="D60" i="11" s="1"/>
  <c r="D61" i="11" s="1"/>
  <c r="D62" i="11" s="1"/>
  <c r="G17" i="11"/>
  <c r="J13" i="11"/>
  <c r="J12" i="11"/>
  <c r="G11" i="11"/>
  <c r="C96" i="10"/>
  <c r="J82" i="10"/>
  <c r="J78" i="10"/>
  <c r="J75" i="10"/>
  <c r="J74" i="10"/>
  <c r="J69" i="10"/>
  <c r="J63" i="10"/>
  <c r="J59" i="10"/>
  <c r="J58" i="10"/>
  <c r="C55" i="10"/>
  <c r="C58" i="10" s="1"/>
  <c r="C59" i="10" s="1"/>
  <c r="J54" i="10"/>
  <c r="J50" i="10"/>
  <c r="D50" i="10"/>
  <c r="C50" i="10"/>
  <c r="C51" i="10" s="1"/>
  <c r="C54" i="10" s="1"/>
  <c r="C42" i="10"/>
  <c r="C43" i="10" s="1"/>
  <c r="J30" i="10"/>
  <c r="D27" i="10"/>
  <c r="D26" i="10"/>
  <c r="J21" i="10"/>
  <c r="D18" i="10"/>
  <c r="D17" i="10"/>
  <c r="J12" i="10"/>
  <c r="D9" i="10"/>
  <c r="D8" i="10"/>
  <c r="M90" i="9"/>
  <c r="J90" i="9"/>
  <c r="M86" i="9"/>
  <c r="J86" i="9"/>
  <c r="M83" i="9"/>
  <c r="J83" i="9"/>
  <c r="M82" i="9"/>
  <c r="J82" i="9"/>
  <c r="M77" i="9"/>
  <c r="J77" i="9"/>
  <c r="M67" i="9"/>
  <c r="J67" i="9"/>
  <c r="M66" i="9"/>
  <c r="J66" i="9"/>
  <c r="M62" i="9"/>
  <c r="J62" i="9"/>
  <c r="M58" i="9"/>
  <c r="J58" i="9"/>
  <c r="D58" i="9"/>
  <c r="C58" i="9"/>
  <c r="C59" i="9" s="1"/>
  <c r="C62" i="9" s="1"/>
  <c r="C63" i="9" s="1"/>
  <c r="C66" i="9" s="1"/>
  <c r="C67" i="9" s="1"/>
  <c r="C68" i="9" s="1"/>
  <c r="C50" i="9"/>
  <c r="C51" i="9" s="1"/>
  <c r="J30" i="9"/>
  <c r="M30" i="9" s="1"/>
  <c r="D27" i="9"/>
  <c r="D26" i="9"/>
  <c r="J21" i="9"/>
  <c r="M21" i="9" s="1"/>
  <c r="D18" i="9"/>
  <c r="D17" i="9"/>
  <c r="J12" i="9"/>
  <c r="M12" i="9" s="1"/>
  <c r="D9" i="9"/>
  <c r="D8" i="9"/>
  <c r="J27" i="8"/>
  <c r="I13" i="11" s="1"/>
  <c r="I27" i="8"/>
  <c r="AR19" i="8"/>
  <c r="AQ19" i="8"/>
  <c r="AP19" i="8"/>
  <c r="AO19" i="8"/>
  <c r="AN19" i="8"/>
  <c r="AM19" i="8"/>
  <c r="AL19" i="8"/>
  <c r="AK19" i="8"/>
  <c r="AJ19" i="8"/>
  <c r="AI19" i="8"/>
  <c r="AH19" i="8"/>
  <c r="AG19" i="8"/>
  <c r="AF19" i="8"/>
  <c r="AE19" i="8"/>
  <c r="AD19" i="8"/>
  <c r="AC19" i="8"/>
  <c r="AB19" i="8"/>
  <c r="AA19" i="8"/>
  <c r="Z19" i="8"/>
  <c r="Y19" i="8"/>
  <c r="X19" i="8"/>
  <c r="W19" i="8"/>
  <c r="V19" i="8"/>
  <c r="U19" i="8"/>
  <c r="T19" i="8"/>
  <c r="S19" i="8"/>
  <c r="R19" i="8"/>
  <c r="Q19" i="8"/>
  <c r="P19" i="8"/>
  <c r="O19" i="8"/>
  <c r="N19" i="8"/>
  <c r="M19" i="8"/>
  <c r="L19" i="8"/>
  <c r="K19" i="8"/>
  <c r="J19" i="8"/>
  <c r="I19" i="8"/>
  <c r="F424" i="7"/>
  <c r="F423" i="7"/>
  <c r="F422" i="7"/>
  <c r="F420" i="7"/>
  <c r="F418" i="7"/>
  <c r="F417" i="7"/>
  <c r="G405" i="7"/>
  <c r="C373" i="7"/>
  <c r="C374" i="7" s="1"/>
  <c r="C375" i="7" s="1"/>
  <c r="C376" i="7" s="1"/>
  <c r="C377" i="7" s="1"/>
  <c r="C378" i="7" s="1"/>
  <c r="C379" i="7" s="1"/>
  <c r="C381" i="7" s="1"/>
  <c r="C382" i="7" s="1"/>
  <c r="C383" i="7" s="1"/>
  <c r="E370" i="7"/>
  <c r="K367" i="7"/>
  <c r="L367" i="7" s="1"/>
  <c r="K366" i="7"/>
  <c r="L366" i="7" s="1"/>
  <c r="K365" i="7"/>
  <c r="L365" i="7" s="1"/>
  <c r="K364" i="7"/>
  <c r="L364" i="7" s="1"/>
  <c r="K363" i="7"/>
  <c r="L363" i="7" s="1"/>
  <c r="E363" i="7"/>
  <c r="E364" i="7" s="1"/>
  <c r="E365" i="7" s="1"/>
  <c r="E366" i="7" s="1"/>
  <c r="E367" i="7" s="1"/>
  <c r="D363" i="7"/>
  <c r="D364" i="7" s="1"/>
  <c r="D365" i="7" s="1"/>
  <c r="D366" i="7" s="1"/>
  <c r="D367" i="7" s="1"/>
  <c r="K362" i="7"/>
  <c r="L362" i="7" s="1"/>
  <c r="K361" i="7"/>
  <c r="K360" i="7"/>
  <c r="M359" i="7"/>
  <c r="K359" i="7"/>
  <c r="L359" i="7" s="1"/>
  <c r="M358" i="7"/>
  <c r="K358" i="7"/>
  <c r="L358" i="7" s="1"/>
  <c r="M357" i="7"/>
  <c r="K357" i="7"/>
  <c r="L357" i="7" s="1"/>
  <c r="M356" i="7"/>
  <c r="K356" i="7"/>
  <c r="L356" i="7" s="1"/>
  <c r="M355" i="7"/>
  <c r="K355" i="7"/>
  <c r="L355" i="7" s="1"/>
  <c r="M354" i="7"/>
  <c r="K354" i="7"/>
  <c r="L354" i="7" s="1"/>
  <c r="M353" i="7"/>
  <c r="K353" i="7"/>
  <c r="L353" i="7" s="1"/>
  <c r="M352" i="7"/>
  <c r="K352" i="7"/>
  <c r="L352" i="7" s="1"/>
  <c r="K351" i="7"/>
  <c r="L351" i="7" s="1"/>
  <c r="O351" i="7" s="1"/>
  <c r="E351" i="7"/>
  <c r="E352" i="7" s="1"/>
  <c r="E353" i="7" s="1"/>
  <c r="E354" i="7" s="1"/>
  <c r="E355" i="7" s="1"/>
  <c r="E356" i="7" s="1"/>
  <c r="E357" i="7" s="1"/>
  <c r="E358" i="7" s="1"/>
  <c r="E359" i="7" s="1"/>
  <c r="E360" i="7" s="1"/>
  <c r="E361" i="7" s="1"/>
  <c r="D351" i="7"/>
  <c r="D352" i="7" s="1"/>
  <c r="D353" i="7" s="1"/>
  <c r="D354" i="7" s="1"/>
  <c r="D355" i="7" s="1"/>
  <c r="D356" i="7" s="1"/>
  <c r="D357" i="7" s="1"/>
  <c r="D358" i="7" s="1"/>
  <c r="D359" i="7" s="1"/>
  <c r="D360" i="7" s="1"/>
  <c r="D361" i="7" s="1"/>
  <c r="M350" i="7"/>
  <c r="K350" i="7"/>
  <c r="L350" i="7" s="1"/>
  <c r="O348" i="7"/>
  <c r="K348" i="7"/>
  <c r="M347" i="7"/>
  <c r="K347" i="7"/>
  <c r="L347" i="7" s="1"/>
  <c r="M346" i="7"/>
  <c r="K346" i="7"/>
  <c r="L346" i="7" s="1"/>
  <c r="M345" i="7"/>
  <c r="L345" i="7"/>
  <c r="M344" i="7"/>
  <c r="L344" i="7"/>
  <c r="M343" i="7"/>
  <c r="K343" i="7"/>
  <c r="L343" i="7" s="1"/>
  <c r="M342" i="7"/>
  <c r="K342" i="7"/>
  <c r="L342" i="7" s="1"/>
  <c r="M341" i="7"/>
  <c r="K341" i="7"/>
  <c r="L341" i="7" s="1"/>
  <c r="P340" i="7"/>
  <c r="P341" i="7" s="1"/>
  <c r="P342" i="7" s="1"/>
  <c r="P343" i="7" s="1"/>
  <c r="P344" i="7" s="1"/>
  <c r="P345" i="7" s="1"/>
  <c r="P346" i="7" s="1"/>
  <c r="P347" i="7" s="1"/>
  <c r="P350" i="7" s="1"/>
  <c r="P351" i="7" s="1"/>
  <c r="P352" i="7" s="1"/>
  <c r="P353" i="7" s="1"/>
  <c r="P354" i="7" s="1"/>
  <c r="P355" i="7" s="1"/>
  <c r="P356" i="7" s="1"/>
  <c r="P357" i="7" s="1"/>
  <c r="P358" i="7" s="1"/>
  <c r="P359" i="7" s="1"/>
  <c r="M340" i="7"/>
  <c r="K340" i="7"/>
  <c r="L340" i="7" s="1"/>
  <c r="I340" i="7"/>
  <c r="I341" i="7" s="1"/>
  <c r="I342" i="7" s="1"/>
  <c r="I343" i="7" s="1"/>
  <c r="I344" i="7" s="1"/>
  <c r="I345" i="7" s="1"/>
  <c r="I346" i="7" s="1"/>
  <c r="I347" i="7" s="1"/>
  <c r="H340" i="7"/>
  <c r="H341" i="7" s="1"/>
  <c r="H342" i="7" s="1"/>
  <c r="H343" i="7" s="1"/>
  <c r="H344" i="7" s="1"/>
  <c r="H345" i="7" s="1"/>
  <c r="H346" i="7" s="1"/>
  <c r="H347" i="7" s="1"/>
  <c r="E340" i="7"/>
  <c r="E341" i="7" s="1"/>
  <c r="E342" i="7" s="1"/>
  <c r="E343" i="7" s="1"/>
  <c r="E344" i="7" s="1"/>
  <c r="E345" i="7" s="1"/>
  <c r="E346" i="7" s="1"/>
  <c r="E347" i="7" s="1"/>
  <c r="E348" i="7" s="1"/>
  <c r="D340" i="7"/>
  <c r="D341" i="7" s="1"/>
  <c r="D342" i="7" s="1"/>
  <c r="D343" i="7" s="1"/>
  <c r="D344" i="7" s="1"/>
  <c r="D345" i="7" s="1"/>
  <c r="D346" i="7" s="1"/>
  <c r="D347" i="7" s="1"/>
  <c r="D348" i="7" s="1"/>
  <c r="C340" i="7"/>
  <c r="C341" i="7" s="1"/>
  <c r="C342" i="7" s="1"/>
  <c r="C343" i="7" s="1"/>
  <c r="C344" i="7" s="1"/>
  <c r="C345" i="7" s="1"/>
  <c r="C346" i="7" s="1"/>
  <c r="C347" i="7" s="1"/>
  <c r="C348" i="7" s="1"/>
  <c r="C350" i="7" s="1"/>
  <c r="C351" i="7" s="1"/>
  <c r="C352" i="7" s="1"/>
  <c r="C353" i="7" s="1"/>
  <c r="C354" i="7" s="1"/>
  <c r="C355" i="7" s="1"/>
  <c r="C356" i="7" s="1"/>
  <c r="C357" i="7" s="1"/>
  <c r="C358" i="7" s="1"/>
  <c r="C359" i="7" s="1"/>
  <c r="C360" i="7" s="1"/>
  <c r="C361" i="7" s="1"/>
  <c r="C362" i="7" s="1"/>
  <c r="C363" i="7" s="1"/>
  <c r="C364" i="7" s="1"/>
  <c r="C365" i="7" s="1"/>
  <c r="C366" i="7" s="1"/>
  <c r="C367" i="7" s="1"/>
  <c r="M339" i="7"/>
  <c r="K339" i="7"/>
  <c r="L339" i="7" s="1"/>
  <c r="B315" i="7"/>
  <c r="C277" i="7"/>
  <c r="C278" i="7" s="1"/>
  <c r="C279" i="7" s="1"/>
  <c r="C280" i="7" s="1"/>
  <c r="C281" i="7" s="1"/>
  <c r="C282" i="7" s="1"/>
  <c r="C283" i="7" s="1"/>
  <c r="C284" i="7" s="1"/>
  <c r="C285" i="7" s="1"/>
  <c r="C286" i="7" s="1"/>
  <c r="C287" i="7" s="1"/>
  <c r="C288" i="7" s="1"/>
  <c r="C289" i="7" s="1"/>
  <c r="C290" i="7" s="1"/>
  <c r="C291" i="7" s="1"/>
  <c r="C292" i="7" s="1"/>
  <c r="C293" i="7" s="1"/>
  <c r="C294" i="7" s="1"/>
  <c r="C295" i="7" s="1"/>
  <c r="C296" i="7" s="1"/>
  <c r="C297" i="7" s="1"/>
  <c r="C298" i="7" s="1"/>
  <c r="C299" i="7" s="1"/>
  <c r="C300" i="7" s="1"/>
  <c r="C301" i="7" s="1"/>
  <c r="C302" i="7" s="1"/>
  <c r="C303" i="7" s="1"/>
  <c r="C304" i="7" s="1"/>
  <c r="C305" i="7" s="1"/>
  <c r="C306" i="7" s="1"/>
  <c r="C307" i="7" s="1"/>
  <c r="C308" i="7" s="1"/>
  <c r="C309" i="7" s="1"/>
  <c r="C310" i="7" s="1"/>
  <c r="C311" i="7" s="1"/>
  <c r="C312" i="7" s="1"/>
  <c r="C313" i="7" s="1"/>
  <c r="C314" i="7" s="1"/>
  <c r="H274" i="7"/>
  <c r="F261" i="7"/>
  <c r="E261" i="7"/>
  <c r="F239" i="7"/>
  <c r="E239" i="7"/>
  <c r="F236" i="7"/>
  <c r="F235" i="7"/>
  <c r="F234" i="7"/>
  <c r="C189" i="7"/>
  <c r="C190" i="7" s="1"/>
  <c r="C191" i="7" s="1"/>
  <c r="C192" i="7" s="1"/>
  <c r="C193" i="7" s="1"/>
  <c r="C194" i="7" s="1"/>
  <c r="C195" i="7" s="1"/>
  <c r="C196" i="7" s="1"/>
  <c r="C197" i="7" s="1"/>
  <c r="C198" i="7" s="1"/>
  <c r="C199" i="7" s="1"/>
  <c r="C200" i="7" s="1"/>
  <c r="C201" i="7" s="1"/>
  <c r="C202" i="7" s="1"/>
  <c r="C203" i="7" s="1"/>
  <c r="C204" i="7" s="1"/>
  <c r="C205" i="7" s="1"/>
  <c r="E187" i="7"/>
  <c r="H186" i="7"/>
  <c r="AL185" i="7"/>
  <c r="AK185" i="7"/>
  <c r="AJ185" i="7"/>
  <c r="AF185" i="7"/>
  <c r="AE185" i="7"/>
  <c r="AD185" i="7"/>
  <c r="AC185" i="7"/>
  <c r="AB185" i="7"/>
  <c r="AA185" i="7"/>
  <c r="Z185" i="7"/>
  <c r="Y185" i="7"/>
  <c r="X185" i="7"/>
  <c r="W185" i="7"/>
  <c r="V185" i="7"/>
  <c r="U185" i="7"/>
  <c r="T185" i="7"/>
  <c r="S185" i="7"/>
  <c r="R185" i="7"/>
  <c r="Q185" i="7"/>
  <c r="C145" i="7"/>
  <c r="C146" i="7" s="1"/>
  <c r="C147" i="7" s="1"/>
  <c r="C148" i="7" s="1"/>
  <c r="C149" i="7" s="1"/>
  <c r="C150" i="7" s="1"/>
  <c r="C151" i="7" s="1"/>
  <c r="C152" i="7" s="1"/>
  <c r="C153" i="7" s="1"/>
  <c r="C154" i="7" s="1"/>
  <c r="C155" i="7" s="1"/>
  <c r="C156" i="7" s="1"/>
  <c r="C157" i="7" s="1"/>
  <c r="C158" i="7" s="1"/>
  <c r="C159" i="7" s="1"/>
  <c r="C160" i="7" s="1"/>
  <c r="C161" i="7" s="1"/>
  <c r="C162" i="7" s="1"/>
  <c r="C163" i="7" s="1"/>
  <c r="C164" i="7" s="1"/>
  <c r="C165" i="7" s="1"/>
  <c r="C166" i="7" s="1"/>
  <c r="C167" i="7" s="1"/>
  <c r="C168" i="7" s="1"/>
  <c r="C169" i="7" s="1"/>
  <c r="C170" i="7" s="1"/>
  <c r="C171" i="7" s="1"/>
  <c r="C172" i="7" s="1"/>
  <c r="C173" i="7" s="1"/>
  <c r="C174" i="7" s="1"/>
  <c r="C175" i="7" s="1"/>
  <c r="C176" i="7" s="1"/>
  <c r="C177" i="7" s="1"/>
  <c r="C178" i="7" s="1"/>
  <c r="C179" i="7" s="1"/>
  <c r="C180" i="7" s="1"/>
  <c r="C181" i="7" s="1"/>
  <c r="C182" i="7" s="1"/>
  <c r="K143" i="7"/>
  <c r="H126" i="7"/>
  <c r="H127" i="7" s="1"/>
  <c r="J127" i="7" s="1"/>
  <c r="C126" i="7"/>
  <c r="C127" i="7" s="1"/>
  <c r="C128" i="7" s="1"/>
  <c r="C129" i="7" s="1"/>
  <c r="C130" i="7" s="1"/>
  <c r="C131" i="7" s="1"/>
  <c r="C132" i="7" s="1"/>
  <c r="C133" i="7" s="1"/>
  <c r="C134" i="7" s="1"/>
  <c r="C135" i="7" s="1"/>
  <c r="C136" i="7" s="1"/>
  <c r="H125" i="7"/>
  <c r="J125" i="7" s="1"/>
  <c r="C108" i="7"/>
  <c r="C109" i="7" s="1"/>
  <c r="C110" i="7" s="1"/>
  <c r="C111" i="7" s="1"/>
  <c r="C112" i="7" s="1"/>
  <c r="C113" i="7" s="1"/>
  <c r="C114" i="7" s="1"/>
  <c r="C115" i="7" s="1"/>
  <c r="C116" i="7" s="1"/>
  <c r="C117" i="7" s="1"/>
  <c r="C118" i="7" s="1"/>
  <c r="H105" i="7"/>
  <c r="E105" i="7"/>
  <c r="I104" i="7"/>
  <c r="C64" i="7"/>
  <c r="C65" i="7" s="1"/>
  <c r="C66" i="7" s="1"/>
  <c r="C67" i="7" s="1"/>
  <c r="C68" i="7" s="1"/>
  <c r="C69" i="7" s="1"/>
  <c r="C70" i="7" s="1"/>
  <c r="C71" i="7" s="1"/>
  <c r="C72" i="7" s="1"/>
  <c r="C73" i="7" s="1"/>
  <c r="C74" i="7" s="1"/>
  <c r="C75" i="7" s="1"/>
  <c r="C76" i="7" s="1"/>
  <c r="C77" i="7" s="1"/>
  <c r="C78" i="7" s="1"/>
  <c r="C79" i="7" s="1"/>
  <c r="C80" i="7" s="1"/>
  <c r="C81" i="7" s="1"/>
  <c r="C82" i="7" s="1"/>
  <c r="C83" i="7" s="1"/>
  <c r="C84" i="7" s="1"/>
  <c r="C85" i="7" s="1"/>
  <c r="C86" i="7" s="1"/>
  <c r="C87" i="7" s="1"/>
  <c r="C88" i="7" s="1"/>
  <c r="C89" i="7" s="1"/>
  <c r="C90" i="7" s="1"/>
  <c r="C91" i="7" s="1"/>
  <c r="C92" i="7" s="1"/>
  <c r="C93" i="7" s="1"/>
  <c r="C94" i="7" s="1"/>
  <c r="C95" i="7" s="1"/>
  <c r="C96" i="7" s="1"/>
  <c r="C97" i="7" s="1"/>
  <c r="C98" i="7" s="1"/>
  <c r="C99" i="7" s="1"/>
  <c r="C100" i="7" s="1"/>
  <c r="C101" i="7" s="1"/>
  <c r="J61" i="7"/>
  <c r="C18" i="7"/>
  <c r="C19" i="7" s="1"/>
  <c r="C20" i="7" s="1"/>
  <c r="C21" i="7" s="1"/>
  <c r="C22" i="7" s="1"/>
  <c r="C23" i="7" s="1"/>
  <c r="C24" i="7" s="1"/>
  <c r="C25" i="7" s="1"/>
  <c r="C26" i="7" s="1"/>
  <c r="C27" i="7" s="1"/>
  <c r="C28" i="7" s="1"/>
  <c r="C29" i="7" s="1"/>
  <c r="C30" i="7" s="1"/>
  <c r="C31" i="7" s="1"/>
  <c r="C32" i="7" s="1"/>
  <c r="C33" i="7" s="1"/>
  <c r="C34" i="7" s="1"/>
  <c r="C35" i="7" s="1"/>
  <c r="C36" i="7" s="1"/>
  <c r="C37" i="7" s="1"/>
  <c r="C38" i="7" s="1"/>
  <c r="C39" i="7" s="1"/>
  <c r="C40" i="7" s="1"/>
  <c r="C41" i="7" s="1"/>
  <c r="C42" i="7" s="1"/>
  <c r="C43" i="7" s="1"/>
  <c r="C44" i="7" s="1"/>
  <c r="C45" i="7" s="1"/>
  <c r="C46" i="7" s="1"/>
  <c r="C47" i="7" s="1"/>
  <c r="C48" i="7" s="1"/>
  <c r="C49" i="7" s="1"/>
  <c r="C50" i="7" s="1"/>
  <c r="C51" i="7" s="1"/>
  <c r="C52" i="7" s="1"/>
  <c r="C53" i="7" s="1"/>
  <c r="C54" i="7" s="1"/>
  <c r="C55" i="7" s="1"/>
  <c r="H15" i="7"/>
  <c r="I10" i="7"/>
  <c r="I9" i="7"/>
  <c r="I8" i="7"/>
  <c r="I38" i="8" s="1"/>
  <c r="I40" i="8" s="1"/>
  <c r="I34" i="8" s="1"/>
  <c r="I7" i="7"/>
  <c r="C7" i="7"/>
  <c r="C8" i="7" s="1"/>
  <c r="C9" i="7" s="1"/>
  <c r="C10" i="7" s="1"/>
  <c r="D207" i="6"/>
  <c r="D208" i="6" s="1"/>
  <c r="D209" i="6" s="1"/>
  <c r="D210" i="6" s="1"/>
  <c r="D211" i="6" s="1"/>
  <c r="D212" i="6" s="1"/>
  <c r="D213" i="6" s="1"/>
  <c r="D214" i="6" s="1"/>
  <c r="D215" i="6" s="1"/>
  <c r="D216" i="6" s="1"/>
  <c r="D217" i="6" s="1"/>
  <c r="D218" i="6" s="1"/>
  <c r="D219" i="6" s="1"/>
  <c r="D220" i="6" s="1"/>
  <c r="D221" i="6" s="1"/>
  <c r="D222" i="6" s="1"/>
  <c r="D223" i="6" s="1"/>
  <c r="D224" i="6" s="1"/>
  <c r="D225" i="6" s="1"/>
  <c r="D226" i="6" s="1"/>
  <c r="M205" i="6"/>
  <c r="K205" i="6"/>
  <c r="J205" i="6"/>
  <c r="I205" i="6"/>
  <c r="D180" i="6"/>
  <c r="D181" i="6" s="1"/>
  <c r="D182" i="6" s="1"/>
  <c r="D183" i="6" s="1"/>
  <c r="D184" i="6" s="1"/>
  <c r="D185" i="6" s="1"/>
  <c r="D186" i="6" s="1"/>
  <c r="D187" i="6" s="1"/>
  <c r="D188" i="6" s="1"/>
  <c r="D189" i="6" s="1"/>
  <c r="D190" i="6" s="1"/>
  <c r="D191" i="6" s="1"/>
  <c r="D192" i="6" s="1"/>
  <c r="D193" i="6" s="1"/>
  <c r="D194" i="6" s="1"/>
  <c r="D195" i="6" s="1"/>
  <c r="D196" i="6" s="1"/>
  <c r="D197" i="6" s="1"/>
  <c r="D198" i="6" s="1"/>
  <c r="D199" i="6" s="1"/>
  <c r="M178" i="6"/>
  <c r="L178" i="6"/>
  <c r="K178" i="6"/>
  <c r="J178" i="6"/>
  <c r="I178" i="6"/>
  <c r="G172" i="6"/>
  <c r="F172" i="6"/>
  <c r="D172" i="6"/>
  <c r="G171" i="6"/>
  <c r="F171" i="6"/>
  <c r="M170" i="6"/>
  <c r="L170" i="6"/>
  <c r="K170" i="6"/>
  <c r="J170" i="6"/>
  <c r="I170" i="6"/>
  <c r="D164" i="6"/>
  <c r="M162" i="6"/>
  <c r="L162" i="6"/>
  <c r="K162" i="6"/>
  <c r="J162" i="6"/>
  <c r="I162" i="6"/>
  <c r="M147" i="6"/>
  <c r="O143" i="6"/>
  <c r="O141" i="6"/>
  <c r="O134" i="6"/>
  <c r="N134" i="6"/>
  <c r="J134" i="6"/>
  <c r="I134" i="6"/>
  <c r="D68" i="6"/>
  <c r="D69" i="6" s="1"/>
  <c r="D70" i="6" s="1"/>
  <c r="D71" i="6" s="1"/>
  <c r="D72" i="6" s="1"/>
  <c r="D73" i="6" s="1"/>
  <c r="D74" i="6" s="1"/>
  <c r="D75" i="6" s="1"/>
  <c r="D76" i="6" s="1"/>
  <c r="D77" i="6" s="1"/>
  <c r="D78" i="6" s="1"/>
  <c r="D79" i="6" s="1"/>
  <c r="D80" i="6" s="1"/>
  <c r="D81" i="6" s="1"/>
  <c r="D82" i="6" s="1"/>
  <c r="D83" i="6" s="1"/>
  <c r="D84" i="6" s="1"/>
  <c r="D85" i="6" s="1"/>
  <c r="D86" i="6" s="1"/>
  <c r="D87" i="6" s="1"/>
  <c r="D88" i="6" s="1"/>
  <c r="D89" i="6" s="1"/>
  <c r="D90" i="6" s="1"/>
  <c r="D91" i="6" s="1"/>
  <c r="D92" i="6" s="1"/>
  <c r="D93" i="6" s="1"/>
  <c r="D94" i="6" s="1"/>
  <c r="D95" i="6" s="1"/>
  <c r="D96" i="6" s="1"/>
  <c r="D97" i="6" s="1"/>
  <c r="D98" i="6" s="1"/>
  <c r="D99" i="6" s="1"/>
  <c r="D100" i="6" s="1"/>
  <c r="D101" i="6" s="1"/>
  <c r="D102" i="6" s="1"/>
  <c r="D103" i="6" s="1"/>
  <c r="D104" i="6" s="1"/>
  <c r="D105" i="6" s="1"/>
  <c r="M66" i="6"/>
  <c r="L66" i="6"/>
  <c r="K66" i="6"/>
  <c r="J66" i="6"/>
  <c r="I66" i="6"/>
  <c r="G79" i="6"/>
  <c r="F79" i="6"/>
  <c r="D22" i="6"/>
  <c r="D23" i="6" s="1"/>
  <c r="D24" i="6" s="1"/>
  <c r="D25" i="6" s="1"/>
  <c r="D26" i="6" s="1"/>
  <c r="D27" i="6" s="1"/>
  <c r="D28" i="6" s="1"/>
  <c r="D29" i="6" s="1"/>
  <c r="D30" i="6" s="1"/>
  <c r="D31" i="6" s="1"/>
  <c r="D32" i="6" s="1"/>
  <c r="D33" i="6" s="1"/>
  <c r="D34" i="6" s="1"/>
  <c r="D35" i="6" s="1"/>
  <c r="D36" i="6" s="1"/>
  <c r="D37" i="6" s="1"/>
  <c r="D38" i="6" s="1"/>
  <c r="D39" i="6" s="1"/>
  <c r="D40" i="6" s="1"/>
  <c r="D41" i="6" s="1"/>
  <c r="D42" i="6" s="1"/>
  <c r="D43" i="6" s="1"/>
  <c r="D44" i="6" s="1"/>
  <c r="D45" i="6" s="1"/>
  <c r="D46" i="6" s="1"/>
  <c r="D47" i="6" s="1"/>
  <c r="D48" i="6" s="1"/>
  <c r="D49" i="6" s="1"/>
  <c r="D50" i="6" s="1"/>
  <c r="D51" i="6" s="1"/>
  <c r="D52" i="6" s="1"/>
  <c r="D53" i="6" s="1"/>
  <c r="D54" i="6" s="1"/>
  <c r="D55" i="6" s="1"/>
  <c r="D56" i="6" s="1"/>
  <c r="D57" i="6" s="1"/>
  <c r="D58" i="6" s="1"/>
  <c r="D59" i="6" s="1"/>
  <c r="M20" i="6"/>
  <c r="L20" i="6"/>
  <c r="K20" i="6"/>
  <c r="J20" i="6"/>
  <c r="I20" i="6"/>
  <c r="O13" i="6"/>
  <c r="M13" i="6"/>
  <c r="L13" i="6"/>
  <c r="K13" i="6"/>
  <c r="J13" i="6"/>
  <c r="I13" i="6"/>
  <c r="D68" i="5"/>
  <c r="I65" i="5"/>
  <c r="C59" i="5"/>
  <c r="C64" i="5" s="1"/>
  <c r="C67" i="5" s="1"/>
  <c r="N37" i="5"/>
  <c r="N36" i="5"/>
  <c r="N35" i="5"/>
  <c r="I31" i="5"/>
  <c r="C13" i="5"/>
  <c r="C16" i="5" s="1"/>
  <c r="C19" i="5" s="1"/>
  <c r="C28" i="5" s="1"/>
  <c r="C42" i="5" s="1"/>
  <c r="C51" i="5" s="1"/>
  <c r="M5" i="4"/>
  <c r="M6" i="4" s="1"/>
  <c r="M7" i="4" s="1"/>
  <c r="M8" i="4" s="1"/>
  <c r="M9" i="4" s="1"/>
  <c r="M10" i="4" s="1"/>
  <c r="M11" i="4" s="1"/>
  <c r="M12" i="4" s="1"/>
  <c r="M13" i="4" s="1"/>
  <c r="M14" i="4" s="1"/>
  <c r="M15" i="4" s="1"/>
  <c r="M16" i="4" s="1"/>
  <c r="M17" i="4" s="1"/>
  <c r="M18" i="4" s="1"/>
  <c r="M19" i="4" s="1"/>
  <c r="M20" i="4" s="1"/>
  <c r="M21" i="4" s="1"/>
  <c r="M22" i="4" s="1"/>
  <c r="M23" i="4" s="1"/>
  <c r="J5" i="4"/>
  <c r="J6" i="4" s="1"/>
  <c r="J7" i="4" s="1"/>
  <c r="J8" i="4" s="1"/>
  <c r="J9" i="4" s="1"/>
  <c r="J10" i="4" s="1"/>
  <c r="J11" i="4" s="1"/>
  <c r="J12" i="4" s="1"/>
  <c r="J13" i="4" s="1"/>
  <c r="J14" i="4" s="1"/>
  <c r="J15" i="4" s="1"/>
  <c r="J16" i="4" s="1"/>
  <c r="J17" i="4" s="1"/>
  <c r="J18" i="4" s="1"/>
  <c r="J19" i="4" s="1"/>
  <c r="J20" i="4" s="1"/>
  <c r="J21" i="4" s="1"/>
  <c r="J22" i="4" s="1"/>
  <c r="J23" i="4" s="1"/>
  <c r="J24" i="4" s="1"/>
  <c r="D5" i="4"/>
  <c r="D6" i="4" s="1"/>
  <c r="D7" i="4" s="1"/>
  <c r="D8" i="4" s="1"/>
  <c r="D9" i="4" s="1"/>
  <c r="D10" i="4" s="1"/>
  <c r="D11" i="4" s="1"/>
  <c r="D12" i="4" s="1"/>
  <c r="D13" i="4" s="1"/>
  <c r="D14" i="4" s="1"/>
  <c r="D15" i="4" s="1"/>
  <c r="D16" i="4" s="1"/>
  <c r="D17" i="4" s="1"/>
  <c r="D18" i="4" s="1"/>
  <c r="D19" i="4" s="1"/>
  <c r="D20" i="4" s="1"/>
  <c r="D21" i="4" s="1"/>
  <c r="D22" i="4" s="1"/>
  <c r="D23" i="4" s="1"/>
  <c r="D24" i="4" s="1"/>
  <c r="D25" i="4" s="1"/>
  <c r="D26" i="4" s="1"/>
  <c r="D27" i="4" s="1"/>
  <c r="D28" i="4" s="1"/>
  <c r="D29" i="4" s="1"/>
  <c r="D30" i="4" s="1"/>
  <c r="D31" i="4" s="1"/>
  <c r="D32" i="4" s="1"/>
  <c r="D33" i="4" s="1"/>
  <c r="D34" i="4" s="1"/>
  <c r="D35" i="4" s="1"/>
  <c r="D36" i="4" s="1"/>
  <c r="D37" i="4" s="1"/>
  <c r="D38" i="4" s="1"/>
  <c r="D39" i="4" s="1"/>
  <c r="D40" i="4" s="1"/>
  <c r="D41" i="4" s="1"/>
  <c r="D42" i="4" s="1"/>
  <c r="D43" i="4" s="1"/>
  <c r="D44" i="4" s="1"/>
  <c r="B5" i="4"/>
  <c r="H129" i="3"/>
  <c r="E129" i="3"/>
  <c r="F128" i="3"/>
  <c r="G128" i="3" s="1"/>
  <c r="F127" i="3"/>
  <c r="G127" i="3" s="1"/>
  <c r="F126" i="3"/>
  <c r="B11" i="2"/>
  <c r="B10" i="2"/>
  <c r="B9" i="2"/>
  <c r="B8" i="2"/>
  <c r="B6" i="2"/>
  <c r="B5" i="2"/>
  <c r="B6" i="4" l="1"/>
  <c r="D135" i="11"/>
  <c r="D136" i="11" s="1"/>
  <c r="D137" i="11" s="1"/>
  <c r="D138" i="11" s="1"/>
  <c r="D139" i="11" s="1"/>
  <c r="D140" i="11" s="1"/>
  <c r="D141" i="11" s="1"/>
  <c r="D142" i="11" s="1"/>
  <c r="D143" i="11" s="1"/>
  <c r="D144" i="11" s="1"/>
  <c r="D145" i="11" s="1"/>
  <c r="D146" i="11" s="1"/>
  <c r="D147" i="11" s="1"/>
  <c r="D148" i="11" s="1"/>
  <c r="D149" i="11" s="1"/>
  <c r="O339" i="7"/>
  <c r="O347" i="7"/>
  <c r="J180" i="7"/>
  <c r="C179" i="6"/>
  <c r="C180" i="6"/>
  <c r="G77" i="6"/>
  <c r="F73" i="6"/>
  <c r="G73" i="6"/>
  <c r="F87" i="6"/>
  <c r="G95" i="6"/>
  <c r="F69" i="6"/>
  <c r="C71" i="9"/>
  <c r="C72" i="9" s="1"/>
  <c r="C73" i="9" s="1"/>
  <c r="C76" i="9" s="1"/>
  <c r="C77" i="9" s="1"/>
  <c r="C78" i="9" s="1"/>
  <c r="C79" i="9" s="1"/>
  <c r="C81" i="9" s="1"/>
  <c r="C82" i="9" s="1"/>
  <c r="C83" i="9" s="1"/>
  <c r="C84" i="9" s="1"/>
  <c r="C86" i="9" s="1"/>
  <c r="C87" i="9" s="1"/>
  <c r="C90" i="9" s="1"/>
  <c r="C93" i="9" s="1"/>
  <c r="C94" i="9" s="1"/>
  <c r="C98" i="9" s="1"/>
  <c r="C99" i="9" s="1"/>
  <c r="C103" i="9" s="1"/>
  <c r="C104" i="9" s="1"/>
  <c r="G71" i="6"/>
  <c r="G100" i="6"/>
  <c r="AC8" i="8"/>
  <c r="O341" i="7"/>
  <c r="O345" i="7"/>
  <c r="N353" i="7"/>
  <c r="O344" i="7"/>
  <c r="N357" i="7"/>
  <c r="O359" i="7"/>
  <c r="N359" i="7"/>
  <c r="O356" i="7"/>
  <c r="N344" i="7"/>
  <c r="O354" i="7"/>
  <c r="B171" i="7"/>
  <c r="B167" i="7"/>
  <c r="B168" i="7"/>
  <c r="B174" i="7"/>
  <c r="B144" i="7"/>
  <c r="B148" i="7"/>
  <c r="C206" i="7"/>
  <c r="C207" i="7" s="1"/>
  <c r="B7" i="4"/>
  <c r="G82" i="6"/>
  <c r="G81" i="6"/>
  <c r="F81" i="6"/>
  <c r="G84" i="6"/>
  <c r="F84" i="6"/>
  <c r="F95" i="6"/>
  <c r="F85" i="6"/>
  <c r="G85" i="6"/>
  <c r="G69" i="6"/>
  <c r="F86" i="6"/>
  <c r="G86" i="6"/>
  <c r="G94" i="6"/>
  <c r="G76" i="6"/>
  <c r="G78" i="6"/>
  <c r="G80" i="6"/>
  <c r="C33" i="6"/>
  <c r="F80" i="6"/>
  <c r="M71" i="9"/>
  <c r="J71" i="9"/>
  <c r="C79" i="6"/>
  <c r="F129" i="3"/>
  <c r="G87" i="6"/>
  <c r="G126" i="3"/>
  <c r="C54" i="6"/>
  <c r="C206" i="6"/>
  <c r="C207" i="6"/>
  <c r="I350" i="7"/>
  <c r="I351" i="7" s="1"/>
  <c r="I352" i="7" s="1"/>
  <c r="I353" i="7" s="1"/>
  <c r="I354" i="7" s="1"/>
  <c r="I355" i="7" s="1"/>
  <c r="I356" i="7" s="1"/>
  <c r="I357" i="7" s="1"/>
  <c r="I358" i="7" s="1"/>
  <c r="I359" i="7" s="1"/>
  <c r="I362" i="7" s="1"/>
  <c r="I363" i="7" s="1"/>
  <c r="I364" i="7" s="1"/>
  <c r="I365" i="7" s="1"/>
  <c r="I366" i="7" s="1"/>
  <c r="I367" i="7" s="1"/>
  <c r="I348" i="7"/>
  <c r="O346" i="7"/>
  <c r="N346" i="7"/>
  <c r="H128" i="7"/>
  <c r="J181" i="7" s="1"/>
  <c r="J126" i="7"/>
  <c r="O340" i="7"/>
  <c r="N340" i="7"/>
  <c r="H348" i="7"/>
  <c r="H350" i="7"/>
  <c r="H351" i="7" s="1"/>
  <c r="H352" i="7" s="1"/>
  <c r="H353" i="7" s="1"/>
  <c r="H354" i="7" s="1"/>
  <c r="H355" i="7" s="1"/>
  <c r="H356" i="7" s="1"/>
  <c r="H357" i="7" s="1"/>
  <c r="H358" i="7" s="1"/>
  <c r="H359" i="7" s="1"/>
  <c r="H362" i="7" s="1"/>
  <c r="H363" i="7" s="1"/>
  <c r="H364" i="7" s="1"/>
  <c r="H365" i="7" s="1"/>
  <c r="H366" i="7" s="1"/>
  <c r="H367" i="7" s="1"/>
  <c r="O355" i="7"/>
  <c r="N355" i="7"/>
  <c r="O342" i="7"/>
  <c r="N342" i="7"/>
  <c r="N350" i="7"/>
  <c r="O350" i="7"/>
  <c r="O343" i="7"/>
  <c r="N343" i="7"/>
  <c r="E263" i="7"/>
  <c r="N351" i="7"/>
  <c r="N341" i="7"/>
  <c r="AI8" i="8"/>
  <c r="O352" i="7"/>
  <c r="N339" i="7"/>
  <c r="N345" i="7"/>
  <c r="O353" i="7"/>
  <c r="O357" i="7"/>
  <c r="N347" i="7"/>
  <c r="O358" i="7"/>
  <c r="C63" i="10"/>
  <c r="C64" i="10" s="1"/>
  <c r="C65" i="10" s="1"/>
  <c r="C68" i="10" s="1"/>
  <c r="C69" i="10" s="1"/>
  <c r="C70" i="10" s="1"/>
  <c r="C71" i="10" s="1"/>
  <c r="C73" i="10" s="1"/>
  <c r="C74" i="10" s="1"/>
  <c r="C75" i="10" s="1"/>
  <c r="C76" i="10" s="1"/>
  <c r="C78" i="10" s="1"/>
  <c r="C79" i="10" s="1"/>
  <c r="C82" i="10" s="1"/>
  <c r="C85" i="10" s="1"/>
  <c r="C86" i="10" s="1"/>
  <c r="C90" i="10" s="1"/>
  <c r="C91" i="10" s="1"/>
  <c r="C92" i="10" s="1"/>
  <c r="C97" i="10" s="1"/>
  <c r="C98" i="10" s="1"/>
  <c r="C99" i="10" s="1"/>
  <c r="C105" i="10" s="1"/>
  <c r="C106" i="10" s="1"/>
  <c r="C60" i="10"/>
  <c r="N352" i="7"/>
  <c r="N354" i="7"/>
  <c r="N356" i="7"/>
  <c r="N358" i="7"/>
  <c r="I12" i="11"/>
  <c r="I44" i="8"/>
  <c r="E373" i="7" l="1"/>
  <c r="C100" i="9"/>
  <c r="AI25" i="8"/>
  <c r="AI36" i="8"/>
  <c r="AI38" i="8" s="1"/>
  <c r="AI40" i="8" s="1"/>
  <c r="AI34" i="8" s="1"/>
  <c r="AI64" i="8"/>
  <c r="AI63" i="8" s="1"/>
  <c r="AI59" i="8" s="1"/>
  <c r="AI67" i="8" s="1"/>
  <c r="AI71" i="8" s="1"/>
  <c r="AI70" i="8" s="1"/>
  <c r="AC25" i="8"/>
  <c r="AC36" i="8"/>
  <c r="AC64" i="8"/>
  <c r="AC63" i="8" s="1"/>
  <c r="AC59" i="8" s="1"/>
  <c r="G212" i="6"/>
  <c r="G185" i="6"/>
  <c r="F183" i="6"/>
  <c r="C183" i="6" s="1"/>
  <c r="F210" i="6"/>
  <c r="C210" i="6" s="1"/>
  <c r="F192" i="6"/>
  <c r="F219" i="6"/>
  <c r="C219" i="6" s="1"/>
  <c r="G219" i="6"/>
  <c r="G192" i="6"/>
  <c r="G217" i="6"/>
  <c r="G190" i="6"/>
  <c r="G226" i="6"/>
  <c r="G199" i="6"/>
  <c r="G210" i="6"/>
  <c r="G183" i="6"/>
  <c r="G187" i="6"/>
  <c r="G214" i="6"/>
  <c r="F214" i="6"/>
  <c r="C214" i="6" s="1"/>
  <c r="F187" i="6"/>
  <c r="C187" i="6" s="1"/>
  <c r="G218" i="6"/>
  <c r="G191" i="6"/>
  <c r="AJ8" i="8"/>
  <c r="AB8" i="8"/>
  <c r="AM8" i="8"/>
  <c r="L8" i="8"/>
  <c r="AA8" i="8"/>
  <c r="AH8" i="8"/>
  <c r="AQ8" i="8"/>
  <c r="V20" i="8"/>
  <c r="R8" i="8"/>
  <c r="V8" i="8"/>
  <c r="P8" i="8"/>
  <c r="AC28" i="8"/>
  <c r="AC27" i="8" s="1"/>
  <c r="AK8" i="8"/>
  <c r="C87" i="6"/>
  <c r="C73" i="6"/>
  <c r="C27" i="6"/>
  <c r="C95" i="6"/>
  <c r="C38" i="6"/>
  <c r="C80" i="6"/>
  <c r="C85" i="6"/>
  <c r="C81" i="6"/>
  <c r="Q115" i="11"/>
  <c r="C40" i="6"/>
  <c r="C41" i="6"/>
  <c r="C39" i="6"/>
  <c r="C31" i="6"/>
  <c r="AN8" i="8"/>
  <c r="AO8" i="8"/>
  <c r="M8" i="8"/>
  <c r="N8" i="8"/>
  <c r="AP8" i="8"/>
  <c r="O8" i="8"/>
  <c r="W8" i="8"/>
  <c r="S8" i="8"/>
  <c r="Y8" i="8"/>
  <c r="U8" i="8"/>
  <c r="B8" i="4"/>
  <c r="B9" i="4" s="1"/>
  <c r="B10" i="4" s="1"/>
  <c r="B11" i="4" s="1"/>
  <c r="F94" i="6"/>
  <c r="T8" i="8"/>
  <c r="Q8" i="8"/>
  <c r="F99" i="6"/>
  <c r="C99" i="6" s="1"/>
  <c r="G99" i="6"/>
  <c r="G91" i="6"/>
  <c r="F91" i="6"/>
  <c r="G88" i="6"/>
  <c r="G70" i="6"/>
  <c r="F70" i="6"/>
  <c r="F72" i="6"/>
  <c r="C37" i="6"/>
  <c r="G72" i="6"/>
  <c r="F77" i="6"/>
  <c r="G89" i="6"/>
  <c r="R28" i="8"/>
  <c r="R27" i="8" s="1"/>
  <c r="G83" i="6"/>
  <c r="C84" i="6"/>
  <c r="C52" i="6"/>
  <c r="G98" i="6"/>
  <c r="AR8" i="8"/>
  <c r="AL8" i="8"/>
  <c r="X8" i="8"/>
  <c r="B154" i="7"/>
  <c r="B276" i="7"/>
  <c r="B156" i="7"/>
  <c r="B163" i="7"/>
  <c r="B176" i="7"/>
  <c r="B150" i="7"/>
  <c r="B145" i="7"/>
  <c r="B172" i="7"/>
  <c r="B177" i="7"/>
  <c r="B277" i="7"/>
  <c r="E374" i="7"/>
  <c r="E375" i="7" s="1"/>
  <c r="E376" i="7" s="1"/>
  <c r="E377" i="7" s="1"/>
  <c r="E378" i="7" s="1"/>
  <c r="E379" i="7" s="1"/>
  <c r="B153" i="7"/>
  <c r="B164" i="7"/>
  <c r="B160" i="7"/>
  <c r="B149" i="7"/>
  <c r="B155" i="7"/>
  <c r="B161" i="7"/>
  <c r="B159" i="7"/>
  <c r="B157" i="7"/>
  <c r="J36" i="8"/>
  <c r="J38" i="8" s="1"/>
  <c r="J40" i="8" s="1"/>
  <c r="J34" i="8" s="1"/>
  <c r="J8" i="8"/>
  <c r="B306" i="7"/>
  <c r="B158" i="7"/>
  <c r="B147" i="7"/>
  <c r="F67" i="6"/>
  <c r="G67" i="6"/>
  <c r="G74" i="6"/>
  <c r="F74" i="6"/>
  <c r="B170" i="7"/>
  <c r="B287" i="7"/>
  <c r="F96" i="6"/>
  <c r="C96" i="6" s="1"/>
  <c r="G96" i="6"/>
  <c r="F82" i="6"/>
  <c r="C82" i="6" s="1"/>
  <c r="C36" i="6"/>
  <c r="G68" i="6"/>
  <c r="F68" i="6"/>
  <c r="B290" i="7"/>
  <c r="Q111" i="11"/>
  <c r="AD8" i="8"/>
  <c r="J128" i="7"/>
  <c r="H129" i="7"/>
  <c r="B300" i="7"/>
  <c r="B299" i="7"/>
  <c r="B165" i="7"/>
  <c r="B285" i="7"/>
  <c r="B295" i="7"/>
  <c r="C23" i="6"/>
  <c r="B308" i="7"/>
  <c r="B298" i="7"/>
  <c r="B283" i="7"/>
  <c r="G75" i="6"/>
  <c r="F75" i="6"/>
  <c r="F76" i="6"/>
  <c r="Q119" i="11"/>
  <c r="B284" i="7"/>
  <c r="AI20" i="8"/>
  <c r="AI28" i="8"/>
  <c r="AI27" i="8" s="1"/>
  <c r="AI21" i="8"/>
  <c r="B309" i="7"/>
  <c r="AG8" i="8"/>
  <c r="B292" i="7"/>
  <c r="G97" i="6"/>
  <c r="F97" i="6"/>
  <c r="C97" i="6" s="1"/>
  <c r="C35" i="6"/>
  <c r="AF8" i="8"/>
  <c r="B291" i="7"/>
  <c r="B169" i="7"/>
  <c r="B293" i="7"/>
  <c r="B288" i="7"/>
  <c r="G93" i="6"/>
  <c r="F93" i="6"/>
  <c r="B294" i="7"/>
  <c r="B146" i="7"/>
  <c r="B296" i="7"/>
  <c r="C192" i="6"/>
  <c r="B162" i="7"/>
  <c r="B175" i="7"/>
  <c r="B281" i="7"/>
  <c r="F88" i="6"/>
  <c r="C42" i="6"/>
  <c r="B152" i="7"/>
  <c r="B302" i="7"/>
  <c r="B289" i="7"/>
  <c r="B278" i="7"/>
  <c r="G129" i="3"/>
  <c r="E133" i="3" a="1"/>
  <c r="AE8" i="8"/>
  <c r="I8" i="8"/>
  <c r="B166" i="7"/>
  <c r="B282" i="7"/>
  <c r="B303" i="7"/>
  <c r="I50" i="8"/>
  <c r="B307" i="7"/>
  <c r="B151" i="7"/>
  <c r="I51" i="8"/>
  <c r="C86" i="6"/>
  <c r="G90" i="6"/>
  <c r="F90" i="6"/>
  <c r="B173" i="7"/>
  <c r="B297" i="7"/>
  <c r="I49" i="8"/>
  <c r="Z8" i="8"/>
  <c r="B304" i="7"/>
  <c r="B279" i="7"/>
  <c r="B280" i="7"/>
  <c r="F100" i="6"/>
  <c r="C100" i="6" s="1"/>
  <c r="C49" i="6"/>
  <c r="AC38" i="8"/>
  <c r="AC40" i="8" s="1"/>
  <c r="AC34" i="8" s="1"/>
  <c r="B305" i="7"/>
  <c r="C25" i="6"/>
  <c r="Q113" i="11"/>
  <c r="F71" i="6"/>
  <c r="F78" i="6"/>
  <c r="C78" i="6" s="1"/>
  <c r="C32" i="6"/>
  <c r="B301" i="7"/>
  <c r="B286" i="7"/>
  <c r="G92" i="6"/>
  <c r="F92" i="6"/>
  <c r="C69" i="6"/>
  <c r="J64" i="10"/>
  <c r="J72" i="9"/>
  <c r="M72" i="9"/>
  <c r="C34" i="6"/>
  <c r="C48" i="6"/>
  <c r="C30" i="6"/>
  <c r="O64" i="8" l="1"/>
  <c r="O63" i="8" s="1"/>
  <c r="O59" i="8" s="1"/>
  <c r="O57" i="8" s="1"/>
  <c r="O25" i="8"/>
  <c r="O36" i="8"/>
  <c r="AK36" i="8"/>
  <c r="AK25" i="8"/>
  <c r="AK64" i="8"/>
  <c r="N64" i="8"/>
  <c r="N63" i="8" s="1"/>
  <c r="N59" i="8" s="1"/>
  <c r="N67" i="8" s="1"/>
  <c r="N36" i="8"/>
  <c r="N25" i="8"/>
  <c r="P64" i="8"/>
  <c r="P25" i="8"/>
  <c r="P36" i="8"/>
  <c r="P38" i="8" s="1"/>
  <c r="P40" i="8" s="1"/>
  <c r="P34" i="8" s="1"/>
  <c r="AO25" i="8"/>
  <c r="AO36" i="8"/>
  <c r="AO38" i="8" s="1"/>
  <c r="AO40" i="8" s="1"/>
  <c r="AO34" i="8" s="1"/>
  <c r="AO44" i="8" s="1"/>
  <c r="AO50" i="8" s="1"/>
  <c r="AO64" i="8"/>
  <c r="AO63" i="8" s="1"/>
  <c r="AO59" i="8" s="1"/>
  <c r="AN25" i="8"/>
  <c r="AN64" i="8"/>
  <c r="AN63" i="8" s="1"/>
  <c r="AN59" i="8" s="1"/>
  <c r="AN67" i="8" s="1"/>
  <c r="AN71" i="8" s="1"/>
  <c r="AN70" i="8" s="1"/>
  <c r="AN36" i="8"/>
  <c r="AF25" i="8"/>
  <c r="AF36" i="8"/>
  <c r="AF64" i="8"/>
  <c r="AF63" i="8" s="1"/>
  <c r="AF59" i="8" s="1"/>
  <c r="AF57" i="8" s="1"/>
  <c r="AD36" i="8"/>
  <c r="AD38" i="8" s="1"/>
  <c r="AD40" i="8" s="1"/>
  <c r="AD34" i="8" s="1"/>
  <c r="AD25" i="8"/>
  <c r="AD64" i="8"/>
  <c r="M64" i="8"/>
  <c r="M25" i="8"/>
  <c r="M36" i="8"/>
  <c r="Q36" i="8"/>
  <c r="Q38" i="8" s="1"/>
  <c r="Q40" i="8" s="1"/>
  <c r="Q34" i="8" s="1"/>
  <c r="Q64" i="8"/>
  <c r="Q25" i="8"/>
  <c r="V64" i="8"/>
  <c r="V63" i="8" s="1"/>
  <c r="V59" i="8" s="1"/>
  <c r="V67" i="8" s="1"/>
  <c r="V72" i="8" s="1"/>
  <c r="V36" i="8"/>
  <c r="V38" i="8" s="1"/>
  <c r="V40" i="8" s="1"/>
  <c r="V34" i="8" s="1"/>
  <c r="V25" i="8"/>
  <c r="T25" i="8"/>
  <c r="T36" i="8"/>
  <c r="T38" i="8" s="1"/>
  <c r="T40" i="8" s="1"/>
  <c r="T34" i="8" s="1"/>
  <c r="T64" i="8"/>
  <c r="T63" i="8" s="1"/>
  <c r="T59" i="8" s="1"/>
  <c r="T57" i="8" s="1"/>
  <c r="R36" i="8"/>
  <c r="R64" i="8"/>
  <c r="R63" i="8" s="1"/>
  <c r="R59" i="8" s="1"/>
  <c r="R57" i="8" s="1"/>
  <c r="R25" i="8"/>
  <c r="AQ36" i="8"/>
  <c r="AQ38" i="8" s="1"/>
  <c r="AQ40" i="8" s="1"/>
  <c r="AQ34" i="8" s="1"/>
  <c r="AQ25" i="8"/>
  <c r="AQ64" i="8"/>
  <c r="AQ63" i="8" s="1"/>
  <c r="AQ59" i="8" s="1"/>
  <c r="AQ67" i="8" s="1"/>
  <c r="AQ71" i="8" s="1"/>
  <c r="AQ70" i="8" s="1"/>
  <c r="H88" i="11" s="1"/>
  <c r="AH25" i="8"/>
  <c r="AH36" i="8"/>
  <c r="AH38" i="8" s="1"/>
  <c r="AH40" i="8" s="1"/>
  <c r="AH34" i="8" s="1"/>
  <c r="AH64" i="8"/>
  <c r="Y25" i="8"/>
  <c r="Y64" i="8"/>
  <c r="Y36" i="8"/>
  <c r="AE36" i="8"/>
  <c r="AE38" i="8" s="1"/>
  <c r="AE40" i="8" s="1"/>
  <c r="AE34" i="8" s="1"/>
  <c r="AE64" i="8"/>
  <c r="AE63" i="8" s="1"/>
  <c r="AE59" i="8" s="1"/>
  <c r="AE67" i="8" s="1"/>
  <c r="AE25" i="8"/>
  <c r="L64" i="8"/>
  <c r="L63" i="8" s="1"/>
  <c r="L59" i="8" s="1"/>
  <c r="L57" i="8" s="1"/>
  <c r="L25" i="8"/>
  <c r="L36" i="8"/>
  <c r="AM64" i="8"/>
  <c r="AM63" i="8" s="1"/>
  <c r="AM59" i="8" s="1"/>
  <c r="AM67" i="8" s="1"/>
  <c r="AM71" i="8" s="1"/>
  <c r="AM70" i="8" s="1"/>
  <c r="AM36" i="8"/>
  <c r="AM38" i="8" s="1"/>
  <c r="AM40" i="8" s="1"/>
  <c r="AM34" i="8" s="1"/>
  <c r="AM25" i="8"/>
  <c r="AG25" i="8"/>
  <c r="AG36" i="8"/>
  <c r="AG38" i="8" s="1"/>
  <c r="AG40" i="8" s="1"/>
  <c r="AG34" i="8" s="1"/>
  <c r="AG64" i="8"/>
  <c r="AG63" i="8" s="1"/>
  <c r="AG59" i="8" s="1"/>
  <c r="AG67" i="8" s="1"/>
  <c r="AG71" i="8" s="1"/>
  <c r="AG70" i="8" s="1"/>
  <c r="AB25" i="8"/>
  <c r="AB36" i="8"/>
  <c r="AB38" i="8" s="1"/>
  <c r="AB40" i="8" s="1"/>
  <c r="AB34" i="8" s="1"/>
  <c r="AB64" i="8"/>
  <c r="AJ64" i="8"/>
  <c r="AJ63" i="8" s="1"/>
  <c r="AJ59" i="8" s="1"/>
  <c r="AJ67" i="8" s="1"/>
  <c r="AJ25" i="8"/>
  <c r="AJ36" i="8"/>
  <c r="AJ38" i="8" s="1"/>
  <c r="AJ40" i="8" s="1"/>
  <c r="AJ34" i="8" s="1"/>
  <c r="U25" i="8"/>
  <c r="U36" i="8"/>
  <c r="U64" i="8"/>
  <c r="AL25" i="8"/>
  <c r="AL36" i="8"/>
  <c r="AL38" i="8" s="1"/>
  <c r="AL40" i="8" s="1"/>
  <c r="AL34" i="8" s="1"/>
  <c r="AL64" i="8"/>
  <c r="AL63" i="8" s="1"/>
  <c r="AL59" i="8" s="1"/>
  <c r="AL67" i="8" s="1"/>
  <c r="AP36" i="8"/>
  <c r="AP38" i="8" s="1"/>
  <c r="AP40" i="8" s="1"/>
  <c r="AP34" i="8" s="1"/>
  <c r="AP25" i="8"/>
  <c r="AP64" i="8"/>
  <c r="AA36" i="8"/>
  <c r="AA25" i="8"/>
  <c r="AA64" i="8"/>
  <c r="AA63" i="8" s="1"/>
  <c r="AA59" i="8" s="1"/>
  <c r="AA57" i="8" s="1"/>
  <c r="S25" i="8"/>
  <c r="S64" i="8"/>
  <c r="S63" i="8" s="1"/>
  <c r="S59" i="8" s="1"/>
  <c r="S57" i="8" s="1"/>
  <c r="S36" i="8"/>
  <c r="W36" i="8"/>
  <c r="W38" i="8" s="1"/>
  <c r="W40" i="8" s="1"/>
  <c r="W34" i="8" s="1"/>
  <c r="W64" i="8"/>
  <c r="W25" i="8"/>
  <c r="X36" i="8"/>
  <c r="X64" i="8"/>
  <c r="X63" i="8" s="1"/>
  <c r="X59" i="8" s="1"/>
  <c r="X67" i="8" s="1"/>
  <c r="X71" i="8" s="1"/>
  <c r="X70" i="8" s="1"/>
  <c r="X25" i="8"/>
  <c r="AR64" i="8"/>
  <c r="AR63" i="8" s="1"/>
  <c r="AR59" i="8" s="1"/>
  <c r="AR67" i="8" s="1"/>
  <c r="AR36" i="8"/>
  <c r="AR25" i="8"/>
  <c r="Z25" i="8"/>
  <c r="Z36" i="8"/>
  <c r="Z64" i="8"/>
  <c r="AO28" i="8"/>
  <c r="AO27" i="8" s="1"/>
  <c r="X21" i="8"/>
  <c r="Y20" i="8"/>
  <c r="AR21" i="8"/>
  <c r="AN21" i="8"/>
  <c r="F216" i="6"/>
  <c r="C216" i="6" s="1"/>
  <c r="F189" i="6"/>
  <c r="C189" i="6" s="1"/>
  <c r="G216" i="6"/>
  <c r="G189" i="6"/>
  <c r="C77" i="6"/>
  <c r="F218" i="6"/>
  <c r="C218" i="6" s="1"/>
  <c r="F191" i="6"/>
  <c r="C191" i="6" s="1"/>
  <c r="G186" i="6"/>
  <c r="G213" i="6"/>
  <c r="F181" i="6"/>
  <c r="C181" i="6" s="1"/>
  <c r="F208" i="6"/>
  <c r="C208" i="6" s="1"/>
  <c r="G194" i="6"/>
  <c r="G221" i="6"/>
  <c r="F188" i="6"/>
  <c r="C188" i="6" s="1"/>
  <c r="F215" i="6"/>
  <c r="C215" i="6" s="1"/>
  <c r="F184" i="6"/>
  <c r="C184" i="6" s="1"/>
  <c r="F211" i="6"/>
  <c r="C211" i="6" s="1"/>
  <c r="G198" i="6"/>
  <c r="G225" i="6"/>
  <c r="C72" i="6"/>
  <c r="F186" i="6"/>
  <c r="C186" i="6" s="1"/>
  <c r="F213" i="6"/>
  <c r="C213" i="6" s="1"/>
  <c r="F217" i="6"/>
  <c r="C217" i="6" s="1"/>
  <c r="F190" i="6"/>
  <c r="C190" i="6" s="1"/>
  <c r="C93" i="6"/>
  <c r="F198" i="6"/>
  <c r="C198" i="6" s="1"/>
  <c r="F225" i="6"/>
  <c r="C225" i="6" s="1"/>
  <c r="G188" i="6"/>
  <c r="G215" i="6"/>
  <c r="F209" i="6"/>
  <c r="C209" i="6" s="1"/>
  <c r="F182" i="6"/>
  <c r="C182" i="6" s="1"/>
  <c r="G211" i="6"/>
  <c r="G184" i="6"/>
  <c r="G182" i="6"/>
  <c r="G209" i="6"/>
  <c r="G193" i="6"/>
  <c r="G220" i="6"/>
  <c r="C92" i="6"/>
  <c r="F197" i="6"/>
  <c r="C197" i="6" s="1"/>
  <c r="F224" i="6"/>
  <c r="C224" i="6" s="1"/>
  <c r="C71" i="6"/>
  <c r="F212" i="6"/>
  <c r="C212" i="6" s="1"/>
  <c r="F185" i="6"/>
  <c r="C91" i="6"/>
  <c r="F223" i="6"/>
  <c r="F196" i="6"/>
  <c r="G197" i="6"/>
  <c r="G224" i="6"/>
  <c r="G196" i="6"/>
  <c r="G223" i="6"/>
  <c r="C90" i="6"/>
  <c r="F195" i="6"/>
  <c r="C195" i="6" s="1"/>
  <c r="F222" i="6"/>
  <c r="C222" i="6" s="1"/>
  <c r="C94" i="6"/>
  <c r="F226" i="6"/>
  <c r="C226" i="6" s="1"/>
  <c r="F199" i="6"/>
  <c r="G208" i="6"/>
  <c r="G181" i="6"/>
  <c r="G222" i="6"/>
  <c r="G195" i="6"/>
  <c r="F220" i="6"/>
  <c r="C220" i="6" s="1"/>
  <c r="F193" i="6"/>
  <c r="C193" i="6" s="1"/>
  <c r="P115" i="6"/>
  <c r="P145" i="6" s="1"/>
  <c r="O115" i="6"/>
  <c r="C67" i="6"/>
  <c r="Q121" i="11"/>
  <c r="Q120" i="11"/>
  <c r="U21" i="8"/>
  <c r="U28" i="8"/>
  <c r="U27" i="8" s="1"/>
  <c r="U20" i="8"/>
  <c r="AL20" i="8"/>
  <c r="AM20" i="8"/>
  <c r="AQ28" i="8"/>
  <c r="AQ27" i="8" s="1"/>
  <c r="AK20" i="8"/>
  <c r="W28" i="8"/>
  <c r="W27" i="8" s="1"/>
  <c r="R38" i="8"/>
  <c r="R40" i="8" s="1"/>
  <c r="R34" i="8" s="1"/>
  <c r="R44" i="8" s="1"/>
  <c r="R51" i="8" s="1"/>
  <c r="K116" i="11" s="1"/>
  <c r="P63" i="8"/>
  <c r="P59" i="8" s="1"/>
  <c r="P67" i="8" s="1"/>
  <c r="V28" i="8"/>
  <c r="V27" i="8" s="1"/>
  <c r="AL21" i="8"/>
  <c r="X20" i="8"/>
  <c r="AJ21" i="8"/>
  <c r="AJ28" i="8"/>
  <c r="AJ27" i="8" s="1"/>
  <c r="AA28" i="8"/>
  <c r="AA27" i="8" s="1"/>
  <c r="AJ20" i="8"/>
  <c r="X28" i="8"/>
  <c r="X27" i="8" s="1"/>
  <c r="AQ20" i="8"/>
  <c r="AB28" i="8"/>
  <c r="AB27" i="8" s="1"/>
  <c r="AQ21" i="8"/>
  <c r="AH28" i="8"/>
  <c r="AH27" i="8" s="1"/>
  <c r="M21" i="8"/>
  <c r="I2" i="6" a="1"/>
  <c r="I2" i="6" s="1"/>
  <c r="AB63" i="8"/>
  <c r="AB59" i="8" s="1"/>
  <c r="AB57" i="8" s="1"/>
  <c r="AK21" i="8"/>
  <c r="AB21" i="8"/>
  <c r="AM28" i="8"/>
  <c r="AM27" i="8" s="1"/>
  <c r="AB20" i="8"/>
  <c r="AM21" i="8"/>
  <c r="AI57" i="8"/>
  <c r="AK28" i="8"/>
  <c r="AK27" i="8" s="1"/>
  <c r="Y63" i="8"/>
  <c r="Y59" i="8" s="1"/>
  <c r="Y67" i="8" s="1"/>
  <c r="Y72" i="8" s="1"/>
  <c r="AL28" i="8"/>
  <c r="AL27" i="8" s="1"/>
  <c r="L28" i="8"/>
  <c r="L27" i="8" s="1"/>
  <c r="P20" i="8"/>
  <c r="P28" i="8"/>
  <c r="P27" i="8" s="1"/>
  <c r="L38" i="8"/>
  <c r="L40" i="8" s="1"/>
  <c r="L34" i="8" s="1"/>
  <c r="M63" i="8"/>
  <c r="M59" i="8" s="1"/>
  <c r="M67" i="8" s="1"/>
  <c r="M28" i="8"/>
  <c r="M27" i="8" s="1"/>
  <c r="M20" i="8"/>
  <c r="L21" i="8"/>
  <c r="L20" i="8"/>
  <c r="AP63" i="8"/>
  <c r="AP59" i="8" s="1"/>
  <c r="AP57" i="8" s="1"/>
  <c r="V21" i="8"/>
  <c r="M38" i="8"/>
  <c r="M40" i="8" s="1"/>
  <c r="M34" i="8" s="1"/>
  <c r="P21" i="8"/>
  <c r="I204" i="6" a="1"/>
  <c r="N204" i="6" s="1"/>
  <c r="AN28" i="8"/>
  <c r="AN27" i="8" s="1"/>
  <c r="AH21" i="8"/>
  <c r="AC20" i="8"/>
  <c r="AC21" i="8"/>
  <c r="AA20" i="8"/>
  <c r="AN20" i="8"/>
  <c r="AA21" i="8"/>
  <c r="AH20" i="8"/>
  <c r="N20" i="8"/>
  <c r="I65" i="6" a="1"/>
  <c r="I65" i="6" s="1"/>
  <c r="AN38" i="8"/>
  <c r="AN40" i="8" s="1"/>
  <c r="AN34" i="8" s="1"/>
  <c r="AA38" i="8"/>
  <c r="AA40" i="8" s="1"/>
  <c r="AA34" i="8" s="1"/>
  <c r="J9" i="9"/>
  <c r="M9" i="9" s="1"/>
  <c r="M76" i="9" s="1"/>
  <c r="I161" i="6" a="1"/>
  <c r="K161" i="6" s="1"/>
  <c r="T21" i="8"/>
  <c r="I19" i="6" a="1"/>
  <c r="L19" i="6" s="1"/>
  <c r="J8" i="10"/>
  <c r="R21" i="8"/>
  <c r="W21" i="8"/>
  <c r="J9" i="10"/>
  <c r="J68" i="10" s="1"/>
  <c r="J70" i="10" s="1"/>
  <c r="J71" i="10" s="1"/>
  <c r="J76" i="10" s="1"/>
  <c r="AC57" i="8"/>
  <c r="AK63" i="8"/>
  <c r="AK59" i="8" s="1"/>
  <c r="AK57" i="8" s="1"/>
  <c r="AK38" i="8"/>
  <c r="AK40" i="8" s="1"/>
  <c r="AK34" i="8" s="1"/>
  <c r="AH63" i="8"/>
  <c r="AH59" i="8" s="1"/>
  <c r="AH57" i="8" s="1"/>
  <c r="W20" i="8"/>
  <c r="N28" i="8"/>
  <c r="N27" i="8" s="1"/>
  <c r="N21" i="8"/>
  <c r="Y21" i="8"/>
  <c r="AR20" i="8"/>
  <c r="C53" i="6"/>
  <c r="C45" i="6"/>
  <c r="C46" i="6"/>
  <c r="Q114" i="11"/>
  <c r="F83" i="6"/>
  <c r="C83" i="6" s="1"/>
  <c r="C44" i="6"/>
  <c r="C26" i="6"/>
  <c r="C75" i="6"/>
  <c r="C47" i="6"/>
  <c r="Q112" i="11"/>
  <c r="C68" i="6"/>
  <c r="Q174" i="7"/>
  <c r="O38" i="8"/>
  <c r="O40" i="8" s="1"/>
  <c r="O34" i="8" s="1"/>
  <c r="S38" i="8"/>
  <c r="S40" i="8" s="1"/>
  <c r="S34" i="8" s="1"/>
  <c r="U63" i="8"/>
  <c r="U59" i="8" s="1"/>
  <c r="U57" i="8" s="1"/>
  <c r="U38" i="8"/>
  <c r="U40" i="8" s="1"/>
  <c r="U34" i="8" s="1"/>
  <c r="W63" i="8"/>
  <c r="W59" i="8" s="1"/>
  <c r="W67" i="8" s="1"/>
  <c r="Q63" i="8"/>
  <c r="Q59" i="8" s="1"/>
  <c r="Q67" i="8" s="1"/>
  <c r="AR38" i="8"/>
  <c r="AR40" i="8" s="1"/>
  <c r="AR34" i="8" s="1"/>
  <c r="T20" i="8"/>
  <c r="C50" i="6"/>
  <c r="I177" i="6" a="1"/>
  <c r="O20" i="8"/>
  <c r="O28" i="8"/>
  <c r="O27" i="8" s="1"/>
  <c r="O21" i="8"/>
  <c r="C70" i="6"/>
  <c r="T28" i="8"/>
  <c r="T27" i="8" s="1"/>
  <c r="AO21" i="8"/>
  <c r="N38" i="8"/>
  <c r="N40" i="8" s="1"/>
  <c r="N34" i="8" s="1"/>
  <c r="R20" i="8"/>
  <c r="AO20" i="8"/>
  <c r="S20" i="8"/>
  <c r="S21" i="8"/>
  <c r="S28" i="8"/>
  <c r="S27" i="8" s="1"/>
  <c r="F98" i="6"/>
  <c r="C98" i="6" s="1"/>
  <c r="C24" i="6"/>
  <c r="F89" i="6"/>
  <c r="C43" i="6"/>
  <c r="J8" i="9"/>
  <c r="I169" i="6" a="1"/>
  <c r="Q20" i="8"/>
  <c r="Q28" i="8"/>
  <c r="Q27" i="8" s="1"/>
  <c r="Q21" i="8"/>
  <c r="C51" i="6"/>
  <c r="Y38" i="8"/>
  <c r="Y40" i="8" s="1"/>
  <c r="Y34" i="8" s="1"/>
  <c r="AP21" i="8"/>
  <c r="AP28" i="8"/>
  <c r="AP27" i="8" s="1"/>
  <c r="AP20" i="8"/>
  <c r="C76" i="6"/>
  <c r="X38" i="8"/>
  <c r="X40" i="8" s="1"/>
  <c r="X34" i="8" s="1"/>
  <c r="Y28" i="8"/>
  <c r="Y27" i="8" s="1"/>
  <c r="AR28" i="8"/>
  <c r="AR27" i="8" s="1"/>
  <c r="Q127" i="11"/>
  <c r="AJ163" i="7"/>
  <c r="Z145" i="7"/>
  <c r="J36" i="7"/>
  <c r="AD172" i="7"/>
  <c r="E372" i="7"/>
  <c r="Z154" i="7"/>
  <c r="J41" i="7"/>
  <c r="U156" i="7"/>
  <c r="Q171" i="7"/>
  <c r="AB177" i="7"/>
  <c r="V164" i="7"/>
  <c r="R168" i="7"/>
  <c r="J34" i="7"/>
  <c r="R153" i="7"/>
  <c r="AC159" i="7"/>
  <c r="X150" i="7"/>
  <c r="J18" i="7"/>
  <c r="M144" i="7"/>
  <c r="G276" i="7"/>
  <c r="AI160" i="7"/>
  <c r="AG160" i="7"/>
  <c r="AH160" i="7"/>
  <c r="AI155" i="7"/>
  <c r="AG155" i="7"/>
  <c r="AH155" i="7"/>
  <c r="AH149" i="7"/>
  <c r="AG149" i="7"/>
  <c r="AI149" i="7"/>
  <c r="J296" i="7"/>
  <c r="AH148" i="7"/>
  <c r="AG148" i="7"/>
  <c r="AI148" i="7"/>
  <c r="AI176" i="7"/>
  <c r="AG176" i="7"/>
  <c r="AH176" i="7"/>
  <c r="AD63" i="8"/>
  <c r="AD59" i="8" s="1"/>
  <c r="H135" i="3"/>
  <c r="G135" i="3"/>
  <c r="F134" i="3"/>
  <c r="E135" i="3"/>
  <c r="E133" i="3"/>
  <c r="F135" i="3"/>
  <c r="F143" i="3" s="1"/>
  <c r="G134" i="3"/>
  <c r="F133" i="3"/>
  <c r="H134" i="3"/>
  <c r="E134" i="3"/>
  <c r="H133" i="3"/>
  <c r="G133" i="3"/>
  <c r="O162" i="6"/>
  <c r="N162" i="6"/>
  <c r="AE149" i="7"/>
  <c r="U149" i="7"/>
  <c r="S149" i="7"/>
  <c r="Q149" i="7"/>
  <c r="AL149" i="7"/>
  <c r="AF149" i="7"/>
  <c r="AA149" i="7"/>
  <c r="AD149" i="7"/>
  <c r="AC149" i="7"/>
  <c r="AB149" i="7"/>
  <c r="Z149" i="7"/>
  <c r="Y149" i="7"/>
  <c r="X149" i="7"/>
  <c r="W149" i="7"/>
  <c r="V149" i="7"/>
  <c r="T149" i="7"/>
  <c r="R149" i="7"/>
  <c r="AK149" i="7"/>
  <c r="AJ149" i="7"/>
  <c r="C74" i="6"/>
  <c r="K8" i="8"/>
  <c r="I48" i="8"/>
  <c r="Z148" i="7"/>
  <c r="X148" i="7"/>
  <c r="V148" i="7"/>
  <c r="U148" i="7"/>
  <c r="R148" i="7"/>
  <c r="Q148" i="7"/>
  <c r="AF148" i="7"/>
  <c r="Y148" i="7"/>
  <c r="W148" i="7"/>
  <c r="T148" i="7"/>
  <c r="S148" i="7"/>
  <c r="AJ148" i="7"/>
  <c r="AE148" i="7"/>
  <c r="AD148" i="7"/>
  <c r="AC148" i="7"/>
  <c r="AL148" i="7"/>
  <c r="AB148" i="7"/>
  <c r="AK148" i="7"/>
  <c r="AA148" i="7"/>
  <c r="AI44" i="8"/>
  <c r="AI50" i="8" s="1"/>
  <c r="E17" i="7"/>
  <c r="J129" i="7"/>
  <c r="H130" i="7"/>
  <c r="J182" i="7" s="1"/>
  <c r="AC67" i="8"/>
  <c r="AC72" i="8" s="1"/>
  <c r="AE28" i="8"/>
  <c r="AE27" i="8" s="1"/>
  <c r="AE21" i="8"/>
  <c r="AE20" i="8"/>
  <c r="C21" i="6"/>
  <c r="K181" i="7" s="1"/>
  <c r="AE160" i="7"/>
  <c r="AK160" i="7"/>
  <c r="AJ160" i="7"/>
  <c r="AF160" i="7"/>
  <c r="AD160" i="7"/>
  <c r="AC160" i="7"/>
  <c r="AA160" i="7"/>
  <c r="Z160" i="7"/>
  <c r="W160" i="7"/>
  <c r="S160" i="7"/>
  <c r="AL160" i="7"/>
  <c r="AB160" i="7"/>
  <c r="U160" i="7"/>
  <c r="T160" i="7"/>
  <c r="R160" i="7"/>
  <c r="Q160" i="7"/>
  <c r="Y160" i="7"/>
  <c r="X160" i="7"/>
  <c r="V160" i="7"/>
  <c r="AF20" i="8"/>
  <c r="AF28" i="8"/>
  <c r="AF27" i="8" s="1"/>
  <c r="AF21" i="8"/>
  <c r="AI72" i="8"/>
  <c r="C22" i="6"/>
  <c r="E380" i="7"/>
  <c r="E381" i="7"/>
  <c r="E382" i="7" s="1"/>
  <c r="E383" i="7" s="1"/>
  <c r="E384" i="7" s="1"/>
  <c r="E385" i="7" s="1"/>
  <c r="E386" i="7" s="1"/>
  <c r="AC44" i="8"/>
  <c r="AC50" i="8" s="1"/>
  <c r="C185" i="6"/>
  <c r="Q126" i="11"/>
  <c r="AF38" i="8"/>
  <c r="AF40" i="8" s="1"/>
  <c r="AF34" i="8" s="1"/>
  <c r="AG28" i="8"/>
  <c r="AG27" i="8" s="1"/>
  <c r="AG21" i="8"/>
  <c r="AG20" i="8"/>
  <c r="C28" i="6"/>
  <c r="I20" i="8"/>
  <c r="I21" i="8"/>
  <c r="C29" i="6"/>
  <c r="Q110" i="11"/>
  <c r="AD21" i="8"/>
  <c r="AD28" i="8"/>
  <c r="AD27" i="8" s="1"/>
  <c r="AD20" i="8"/>
  <c r="Z63" i="8"/>
  <c r="Z59" i="8" s="1"/>
  <c r="Z57" i="8" s="1"/>
  <c r="Z38" i="8"/>
  <c r="Z40" i="8" s="1"/>
  <c r="Z34" i="8" s="1"/>
  <c r="Z21" i="8"/>
  <c r="Z20" i="8"/>
  <c r="Z28" i="8"/>
  <c r="Z27" i="8" s="1"/>
  <c r="Q155" i="7"/>
  <c r="AL155" i="7"/>
  <c r="AK155" i="7"/>
  <c r="AJ155" i="7"/>
  <c r="AF155" i="7"/>
  <c r="AE155" i="7"/>
  <c r="AC155" i="7"/>
  <c r="AB155" i="7"/>
  <c r="Y155" i="7"/>
  <c r="U155" i="7"/>
  <c r="W155" i="7"/>
  <c r="V155" i="7"/>
  <c r="T155" i="7"/>
  <c r="S155" i="7"/>
  <c r="R155" i="7"/>
  <c r="AD155" i="7"/>
  <c r="AA155" i="7"/>
  <c r="Z155" i="7"/>
  <c r="X155" i="7"/>
  <c r="Q118" i="11"/>
  <c r="Q116" i="11"/>
  <c r="C88" i="6"/>
  <c r="J20" i="8"/>
  <c r="J21" i="8"/>
  <c r="Y176" i="7"/>
  <c r="R176" i="7"/>
  <c r="Q176" i="7"/>
  <c r="AL176" i="7"/>
  <c r="AK176" i="7"/>
  <c r="AF176" i="7"/>
  <c r="AE176" i="7"/>
  <c r="AC176" i="7"/>
  <c r="AB176" i="7"/>
  <c r="W176" i="7"/>
  <c r="AA176" i="7"/>
  <c r="Z176" i="7"/>
  <c r="V176" i="7"/>
  <c r="U176" i="7"/>
  <c r="T176" i="7"/>
  <c r="S176" i="7"/>
  <c r="AJ176" i="7"/>
  <c r="AD176" i="7"/>
  <c r="J44" i="8"/>
  <c r="J51" i="8" s="1"/>
  <c r="K20" i="8"/>
  <c r="K28" i="8"/>
  <c r="K27" i="8" s="1"/>
  <c r="K21" i="8"/>
  <c r="H143" i="3" l="1"/>
  <c r="K179" i="7"/>
  <c r="G142" i="3"/>
  <c r="K182" i="7"/>
  <c r="K180" i="7"/>
  <c r="K178" i="7"/>
  <c r="E193" i="7"/>
  <c r="E195" i="7"/>
  <c r="E204" i="7"/>
  <c r="E190" i="7"/>
  <c r="E198" i="7"/>
  <c r="E200" i="7"/>
  <c r="E194" i="7"/>
  <c r="E202" i="7"/>
  <c r="F193" i="7"/>
  <c r="F202" i="7"/>
  <c r="F195" i="7"/>
  <c r="H195" i="7" s="1"/>
  <c r="J195" i="7" s="1"/>
  <c r="F204" i="7"/>
  <c r="H204" i="7" s="1"/>
  <c r="J204" i="7" s="1"/>
  <c r="F200" i="7"/>
  <c r="F194" i="7"/>
  <c r="F198" i="7"/>
  <c r="H198" i="7" s="1"/>
  <c r="J198" i="7" s="1"/>
  <c r="F190" i="7"/>
  <c r="H190" i="7" s="1"/>
  <c r="J190" i="7" s="1"/>
  <c r="AJ44" i="8"/>
  <c r="AJ50" i="8" s="1"/>
  <c r="K25" i="8"/>
  <c r="K64" i="8"/>
  <c r="K36" i="8"/>
  <c r="P208" i="6"/>
  <c r="AT10" i="8"/>
  <c r="AU10" i="8"/>
  <c r="AV10" i="8"/>
  <c r="AW10" i="8"/>
  <c r="AS10" i="8"/>
  <c r="AT9" i="8"/>
  <c r="U44" i="8"/>
  <c r="U50" i="8" s="1"/>
  <c r="AQ44" i="8"/>
  <c r="AQ50" i="8" s="1"/>
  <c r="O219" i="6"/>
  <c r="P210" i="6"/>
  <c r="O209" i="6"/>
  <c r="P209" i="6"/>
  <c r="P212" i="6"/>
  <c r="O212" i="6"/>
  <c r="O217" i="6"/>
  <c r="P217" i="6"/>
  <c r="O213" i="6"/>
  <c r="P213" i="6"/>
  <c r="O215" i="6"/>
  <c r="P215" i="6"/>
  <c r="P219" i="6"/>
  <c r="O216" i="6"/>
  <c r="P216" i="6"/>
  <c r="F221" i="6"/>
  <c r="C221" i="6" s="1"/>
  <c r="F194" i="6"/>
  <c r="C194" i="6" s="1"/>
  <c r="AU13" i="8" s="1"/>
  <c r="O214" i="6"/>
  <c r="P214" i="6"/>
  <c r="O218" i="6"/>
  <c r="P218" i="6"/>
  <c r="O220" i="6"/>
  <c r="P220" i="6"/>
  <c r="O210" i="6"/>
  <c r="P211" i="6"/>
  <c r="O211" i="6"/>
  <c r="O117" i="6"/>
  <c r="P111" i="6"/>
  <c r="P113" i="6" s="1"/>
  <c r="P117" i="6"/>
  <c r="P147" i="6"/>
  <c r="P151" i="6"/>
  <c r="Q125" i="11"/>
  <c r="Q122" i="11"/>
  <c r="Q124" i="11"/>
  <c r="Q123" i="11"/>
  <c r="W44" i="8"/>
  <c r="W50" i="8" s="1"/>
  <c r="P57" i="8"/>
  <c r="N57" i="8"/>
  <c r="I204" i="6"/>
  <c r="W174" i="7"/>
  <c r="M204" i="6"/>
  <c r="E264" i="7"/>
  <c r="F263" i="7" s="1"/>
  <c r="F264" i="7" s="1"/>
  <c r="F265" i="7" s="1"/>
  <c r="F241" i="7"/>
  <c r="F242" i="7"/>
  <c r="F243" i="7"/>
  <c r="AL44" i="8"/>
  <c r="AL50" i="8" s="1"/>
  <c r="J127" i="11" s="1"/>
  <c r="V57" i="8"/>
  <c r="AJ71" i="8"/>
  <c r="AJ70" i="8" s="1"/>
  <c r="AA44" i="8"/>
  <c r="AA50" i="8" s="1"/>
  <c r="AJ72" i="8"/>
  <c r="AM44" i="8"/>
  <c r="AM50" i="8" s="1"/>
  <c r="AB44" i="8"/>
  <c r="AB50" i="8" s="1"/>
  <c r="AJ57" i="8"/>
  <c r="AB67" i="8"/>
  <c r="AB71" i="8" s="1"/>
  <c r="AB70" i="8" s="1"/>
  <c r="V44" i="8"/>
  <c r="V50" i="8" s="1"/>
  <c r="M57" i="8"/>
  <c r="AQ57" i="8"/>
  <c r="Y57" i="8"/>
  <c r="X44" i="8"/>
  <c r="X51" i="8" s="1"/>
  <c r="L44" i="8"/>
  <c r="L50" i="8" s="1"/>
  <c r="J110" i="11" s="1"/>
  <c r="V71" i="8"/>
  <c r="V70" i="8" s="1"/>
  <c r="AQ72" i="8"/>
  <c r="AH44" i="8"/>
  <c r="AH50" i="8" s="1"/>
  <c r="P44" i="8"/>
  <c r="P50" i="8" s="1"/>
  <c r="J114" i="11" s="1"/>
  <c r="AB174" i="7"/>
  <c r="AA174" i="7"/>
  <c r="AI163" i="7"/>
  <c r="J43" i="7"/>
  <c r="AG163" i="7"/>
  <c r="N71" i="8"/>
  <c r="N70" i="8" s="1"/>
  <c r="E107" i="7"/>
  <c r="H107" i="7" s="1"/>
  <c r="N72" i="8"/>
  <c r="T67" i="8"/>
  <c r="X72" i="8"/>
  <c r="L67" i="8"/>
  <c r="L71" i="8" s="1"/>
  <c r="L70" i="8" s="1"/>
  <c r="J76" i="9"/>
  <c r="J78" i="9" s="1"/>
  <c r="J2" i="6"/>
  <c r="AA67" i="8"/>
  <c r="AA71" i="8" s="1"/>
  <c r="AA70" i="8" s="1"/>
  <c r="H80" i="11" s="1"/>
  <c r="AK44" i="8"/>
  <c r="AK50" i="8" s="1"/>
  <c r="L2" i="6"/>
  <c r="O2" i="6"/>
  <c r="N2" i="6"/>
  <c r="M2" i="6"/>
  <c r="J161" i="6"/>
  <c r="K2" i="6"/>
  <c r="O204" i="6"/>
  <c r="M71" i="8"/>
  <c r="M70" i="8" s="1"/>
  <c r="M72" i="8"/>
  <c r="AN44" i="8"/>
  <c r="AN50" i="8" s="1"/>
  <c r="J204" i="6"/>
  <c r="AP67" i="8"/>
  <c r="AP72" i="8" s="1"/>
  <c r="L204" i="6"/>
  <c r="J65" i="10"/>
  <c r="J62" i="10" s="1"/>
  <c r="M65" i="6"/>
  <c r="K204" i="6"/>
  <c r="Q72" i="8"/>
  <c r="U67" i="8"/>
  <c r="U72" i="8" s="1"/>
  <c r="W72" i="8"/>
  <c r="J40" i="7"/>
  <c r="AK67" i="8"/>
  <c r="AK72" i="8" s="1"/>
  <c r="AH163" i="7"/>
  <c r="N161" i="6"/>
  <c r="M44" i="8"/>
  <c r="M50" i="8" s="1"/>
  <c r="J111" i="11" s="1"/>
  <c r="L65" i="6"/>
  <c r="K65" i="6"/>
  <c r="J10" i="10"/>
  <c r="J14" i="10" s="1"/>
  <c r="AB163" i="7"/>
  <c r="Y163" i="7"/>
  <c r="V163" i="7"/>
  <c r="Z163" i="7"/>
  <c r="AA145" i="7"/>
  <c r="R163" i="7"/>
  <c r="O65" i="6"/>
  <c r="AM72" i="8"/>
  <c r="AC145" i="7"/>
  <c r="Q71" i="8"/>
  <c r="Q70" i="8" s="1"/>
  <c r="N65" i="6"/>
  <c r="O67" i="8"/>
  <c r="O72" i="8" s="1"/>
  <c r="U145" i="7"/>
  <c r="Q163" i="7"/>
  <c r="J65" i="6"/>
  <c r="AD145" i="7"/>
  <c r="AK145" i="7"/>
  <c r="AL145" i="7"/>
  <c r="AH67" i="8"/>
  <c r="AH72" i="8" s="1"/>
  <c r="Q44" i="8"/>
  <c r="Q51" i="8" s="1"/>
  <c r="K115" i="11" s="1"/>
  <c r="AJ145" i="7"/>
  <c r="AM57" i="8"/>
  <c r="I161" i="6"/>
  <c r="J50" i="7"/>
  <c r="Z174" i="7"/>
  <c r="AF174" i="7"/>
  <c r="J48" i="7"/>
  <c r="AJ174" i="7"/>
  <c r="AE174" i="7"/>
  <c r="AC174" i="7"/>
  <c r="AD174" i="7"/>
  <c r="R67" i="8"/>
  <c r="R72" i="8" s="1"/>
  <c r="AL174" i="7"/>
  <c r="AN57" i="8"/>
  <c r="U174" i="7"/>
  <c r="N19" i="6"/>
  <c r="V174" i="7"/>
  <c r="R174" i="7"/>
  <c r="T174" i="7"/>
  <c r="AE172" i="7"/>
  <c r="M19" i="6"/>
  <c r="O19" i="6"/>
  <c r="X174" i="7"/>
  <c r="L161" i="6"/>
  <c r="K19" i="6"/>
  <c r="AN72" i="8"/>
  <c r="AI174" i="7"/>
  <c r="I19" i="6"/>
  <c r="S174" i="7"/>
  <c r="J19" i="6"/>
  <c r="Y174" i="7"/>
  <c r="AG174" i="7"/>
  <c r="O161" i="6"/>
  <c r="AF67" i="8"/>
  <c r="AF71" i="8" s="1"/>
  <c r="AF70" i="8" s="1"/>
  <c r="W57" i="8"/>
  <c r="AH174" i="7"/>
  <c r="Y44" i="8"/>
  <c r="Y50" i="8" s="1"/>
  <c r="AK174" i="7"/>
  <c r="M161" i="6"/>
  <c r="AL71" i="8"/>
  <c r="AL70" i="8" s="1"/>
  <c r="N44" i="8"/>
  <c r="N50" i="8" s="1"/>
  <c r="J112" i="11" s="1"/>
  <c r="AE57" i="8"/>
  <c r="X57" i="8"/>
  <c r="AL57" i="8"/>
  <c r="AP44" i="8"/>
  <c r="AP50" i="8" s="1"/>
  <c r="AO67" i="8"/>
  <c r="AO57" i="8"/>
  <c r="AL72" i="8"/>
  <c r="AG57" i="8"/>
  <c r="AR44" i="8"/>
  <c r="AR49" i="8" s="1"/>
  <c r="S44" i="8"/>
  <c r="S51" i="8" s="1"/>
  <c r="K117" i="11" s="1"/>
  <c r="O67" i="6"/>
  <c r="N20" i="6"/>
  <c r="O145" i="6"/>
  <c r="O147" i="6" s="1"/>
  <c r="J39" i="7"/>
  <c r="J31" i="7"/>
  <c r="R145" i="7"/>
  <c r="AJ172" i="7"/>
  <c r="T172" i="7"/>
  <c r="X145" i="7"/>
  <c r="AH145" i="7"/>
  <c r="Y172" i="7"/>
  <c r="AB145" i="7"/>
  <c r="T163" i="7"/>
  <c r="AK172" i="7"/>
  <c r="T44" i="8"/>
  <c r="T50" i="8" s="1"/>
  <c r="AC172" i="7"/>
  <c r="S172" i="7"/>
  <c r="Z172" i="7"/>
  <c r="AE145" i="7"/>
  <c r="H142" i="3"/>
  <c r="AI145" i="7"/>
  <c r="M8" i="9"/>
  <c r="J10" i="9"/>
  <c r="M10" i="9" s="1"/>
  <c r="Q57" i="8"/>
  <c r="J169" i="6"/>
  <c r="I169" i="6"/>
  <c r="O169" i="6"/>
  <c r="N169" i="6"/>
  <c r="K169" i="6"/>
  <c r="M169" i="6"/>
  <c r="L169" i="6"/>
  <c r="V172" i="7"/>
  <c r="W172" i="7"/>
  <c r="AF145" i="7"/>
  <c r="AD10" i="8"/>
  <c r="AG145" i="7"/>
  <c r="L177" i="6"/>
  <c r="N177" i="6"/>
  <c r="M177" i="6"/>
  <c r="J177" i="6"/>
  <c r="O177" i="6"/>
  <c r="I177" i="6"/>
  <c r="K177" i="6"/>
  <c r="AR57" i="8"/>
  <c r="W71" i="8"/>
  <c r="W70" i="8" s="1"/>
  <c r="O44" i="8"/>
  <c r="O49" i="8" s="1"/>
  <c r="I113" i="11" s="1"/>
  <c r="AA163" i="7"/>
  <c r="AH154" i="7"/>
  <c r="C89" i="6"/>
  <c r="O224" i="6" s="1"/>
  <c r="C223" i="6"/>
  <c r="C196" i="6"/>
  <c r="S67" i="8"/>
  <c r="S72" i="8" s="1"/>
  <c r="Q145" i="7"/>
  <c r="S145" i="7"/>
  <c r="AE163" i="7"/>
  <c r="AG154" i="7"/>
  <c r="J47" i="7"/>
  <c r="T145" i="7"/>
  <c r="AK163" i="7"/>
  <c r="AG153" i="7"/>
  <c r="AF154" i="7"/>
  <c r="J28" i="7"/>
  <c r="Q154" i="7"/>
  <c r="Y145" i="7"/>
  <c r="U163" i="7"/>
  <c r="S154" i="7"/>
  <c r="AG172" i="7"/>
  <c r="V145" i="7"/>
  <c r="W145" i="7"/>
  <c r="S163" i="7"/>
  <c r="J32" i="7"/>
  <c r="AL163" i="7"/>
  <c r="W154" i="7"/>
  <c r="AI172" i="7"/>
  <c r="AL154" i="7"/>
  <c r="AC163" i="7"/>
  <c r="AD163" i="7"/>
  <c r="X163" i="7"/>
  <c r="AF163" i="7"/>
  <c r="W163" i="7"/>
  <c r="J42" i="7"/>
  <c r="AL171" i="7"/>
  <c r="T171" i="7"/>
  <c r="S171" i="7"/>
  <c r="AD154" i="7"/>
  <c r="AI154" i="7"/>
  <c r="W171" i="7"/>
  <c r="AJ154" i="7"/>
  <c r="X172" i="7"/>
  <c r="AK154" i="7"/>
  <c r="AI153" i="7"/>
  <c r="AB172" i="7"/>
  <c r="X154" i="7"/>
  <c r="R154" i="7"/>
  <c r="U171" i="7"/>
  <c r="U154" i="7"/>
  <c r="AA154" i="7"/>
  <c r="AB154" i="7"/>
  <c r="Y171" i="7"/>
  <c r="AC154" i="7"/>
  <c r="Y154" i="7"/>
  <c r="Q156" i="7"/>
  <c r="AB171" i="7"/>
  <c r="AE154" i="7"/>
  <c r="J21" i="7"/>
  <c r="V171" i="7"/>
  <c r="J27" i="7"/>
  <c r="AA171" i="7"/>
  <c r="AE171" i="7"/>
  <c r="AF172" i="7"/>
  <c r="AL172" i="7"/>
  <c r="AA172" i="7"/>
  <c r="T154" i="7"/>
  <c r="AG171" i="7"/>
  <c r="S177" i="7"/>
  <c r="AH171" i="7"/>
  <c r="J44" i="7"/>
  <c r="AD171" i="7"/>
  <c r="AJ171" i="7"/>
  <c r="V154" i="7"/>
  <c r="X171" i="7"/>
  <c r="AF156" i="7"/>
  <c r="Q172" i="7"/>
  <c r="AJ156" i="7"/>
  <c r="AC150" i="7"/>
  <c r="R172" i="7"/>
  <c r="AA150" i="7"/>
  <c r="J46" i="7"/>
  <c r="U172" i="7"/>
  <c r="AD150" i="7"/>
  <c r="Y164" i="7"/>
  <c r="AA164" i="7"/>
  <c r="AB164" i="7"/>
  <c r="Y168" i="7"/>
  <c r="R171" i="7"/>
  <c r="U164" i="7"/>
  <c r="AH172" i="7"/>
  <c r="AI171" i="7"/>
  <c r="AD168" i="7"/>
  <c r="V156" i="7"/>
  <c r="Z171" i="7"/>
  <c r="J33" i="7"/>
  <c r="Z168" i="7"/>
  <c r="Z164" i="7"/>
  <c r="AD164" i="7"/>
  <c r="AJ168" i="7"/>
  <c r="AK168" i="7"/>
  <c r="X168" i="7"/>
  <c r="R156" i="7"/>
  <c r="AL164" i="7"/>
  <c r="S156" i="7"/>
  <c r="AL168" i="7"/>
  <c r="Y156" i="7"/>
  <c r="S168" i="7"/>
  <c r="AE156" i="7"/>
  <c r="AC171" i="7"/>
  <c r="T156" i="7"/>
  <c r="U168" i="7"/>
  <c r="W156" i="7"/>
  <c r="AC168" i="7"/>
  <c r="X156" i="7"/>
  <c r="AF171" i="7"/>
  <c r="AK177" i="7"/>
  <c r="Z156" i="7"/>
  <c r="AK171" i="7"/>
  <c r="AL177" i="7"/>
  <c r="T168" i="7"/>
  <c r="AD156" i="7"/>
  <c r="AJ177" i="7"/>
  <c r="AH153" i="7"/>
  <c r="W153" i="7"/>
  <c r="AE164" i="7"/>
  <c r="AH164" i="7"/>
  <c r="J24" i="7"/>
  <c r="W168" i="7"/>
  <c r="AK156" i="7"/>
  <c r="Y153" i="7"/>
  <c r="AJ164" i="7"/>
  <c r="AF168" i="7"/>
  <c r="AL156" i="7"/>
  <c r="Z153" i="7"/>
  <c r="AK164" i="7"/>
  <c r="AA153" i="7"/>
  <c r="AK153" i="7"/>
  <c r="AE153" i="7"/>
  <c r="S153" i="7"/>
  <c r="AG168" i="7"/>
  <c r="AB156" i="7"/>
  <c r="Q177" i="7"/>
  <c r="T153" i="7"/>
  <c r="AI168" i="7"/>
  <c r="AC156" i="7"/>
  <c r="R177" i="7"/>
  <c r="U153" i="7"/>
  <c r="U159" i="7"/>
  <c r="U177" i="7"/>
  <c r="V153" i="7"/>
  <c r="AD159" i="7"/>
  <c r="V177" i="7"/>
  <c r="X153" i="7"/>
  <c r="AA168" i="7"/>
  <c r="AC153" i="7"/>
  <c r="AH177" i="7"/>
  <c r="V168" i="7"/>
  <c r="Y177" i="7"/>
  <c r="AG177" i="7"/>
  <c r="AD177" i="7"/>
  <c r="J281" i="7"/>
  <c r="AB168" i="7"/>
  <c r="AE177" i="7"/>
  <c r="AI156" i="7"/>
  <c r="AG156" i="7"/>
  <c r="AE168" i="7"/>
  <c r="AF177" i="7"/>
  <c r="J30" i="7"/>
  <c r="AB159" i="7"/>
  <c r="X159" i="7"/>
  <c r="AC164" i="7"/>
  <c r="AG164" i="7"/>
  <c r="AE159" i="7"/>
  <c r="AI164" i="7"/>
  <c r="AF159" i="7"/>
  <c r="AK159" i="7"/>
  <c r="AA156" i="7"/>
  <c r="Q153" i="7"/>
  <c r="W177" i="7"/>
  <c r="AB153" i="7"/>
  <c r="Q164" i="7"/>
  <c r="J23" i="7"/>
  <c r="AJ159" i="7"/>
  <c r="AL159" i="7"/>
  <c r="AF164" i="7"/>
  <c r="Z177" i="7"/>
  <c r="AD153" i="7"/>
  <c r="R164" i="7"/>
  <c r="J35" i="7"/>
  <c r="AC177" i="7"/>
  <c r="AF153" i="7"/>
  <c r="S164" i="7"/>
  <c r="AH168" i="7"/>
  <c r="R159" i="7"/>
  <c r="T177" i="7"/>
  <c r="AJ153" i="7"/>
  <c r="T164" i="7"/>
  <c r="AH156" i="7"/>
  <c r="W164" i="7"/>
  <c r="AA177" i="7"/>
  <c r="AL153" i="7"/>
  <c r="X164" i="7"/>
  <c r="AI177" i="7"/>
  <c r="J37" i="7"/>
  <c r="Z150" i="7"/>
  <c r="AB150" i="7"/>
  <c r="J49" i="7"/>
  <c r="AF150" i="7"/>
  <c r="Q168" i="7"/>
  <c r="AJ150" i="7"/>
  <c r="K287" i="7"/>
  <c r="V150" i="7"/>
  <c r="S159" i="7"/>
  <c r="Y150" i="7"/>
  <c r="Q159" i="7"/>
  <c r="T159" i="7"/>
  <c r="AE150" i="7"/>
  <c r="AK150" i="7"/>
  <c r="V159" i="7"/>
  <c r="R150" i="7"/>
  <c r="AH159" i="7"/>
  <c r="Q150" i="7"/>
  <c r="S150" i="7"/>
  <c r="AG159" i="7"/>
  <c r="AI150" i="7"/>
  <c r="J38" i="7"/>
  <c r="K303" i="7"/>
  <c r="Y159" i="7"/>
  <c r="T150" i="7"/>
  <c r="AI159" i="7"/>
  <c r="AG150" i="7"/>
  <c r="AL150" i="7"/>
  <c r="J20" i="7"/>
  <c r="W159" i="7"/>
  <c r="Z159" i="7"/>
  <c r="U150" i="7"/>
  <c r="AH150" i="7"/>
  <c r="AA159" i="7"/>
  <c r="W150" i="7"/>
  <c r="J45" i="7"/>
  <c r="J19" i="7"/>
  <c r="J17" i="7"/>
  <c r="J280" i="7"/>
  <c r="J299" i="7"/>
  <c r="J294" i="7"/>
  <c r="J25" i="7"/>
  <c r="J26" i="7"/>
  <c r="J278" i="7"/>
  <c r="J287" i="7"/>
  <c r="J301" i="7"/>
  <c r="J304" i="7"/>
  <c r="J288" i="7"/>
  <c r="J279" i="7"/>
  <c r="W167" i="7"/>
  <c r="AD167" i="7"/>
  <c r="AB167" i="7"/>
  <c r="V167" i="7"/>
  <c r="R167" i="7"/>
  <c r="AE167" i="7"/>
  <c r="U167" i="7"/>
  <c r="S167" i="7"/>
  <c r="Q167" i="7"/>
  <c r="AJ167" i="7"/>
  <c r="AF167" i="7"/>
  <c r="AC167" i="7"/>
  <c r="Z167" i="7"/>
  <c r="AA167" i="7"/>
  <c r="AH167" i="7"/>
  <c r="AK167" i="7"/>
  <c r="AI167" i="7"/>
  <c r="AG167" i="7"/>
  <c r="T167" i="7"/>
  <c r="AL167" i="7"/>
  <c r="Y167" i="7"/>
  <c r="X167" i="7"/>
  <c r="J295" i="7"/>
  <c r="J29" i="7"/>
  <c r="J297" i="7"/>
  <c r="J290" i="7"/>
  <c r="J289" i="7"/>
  <c r="J306" i="7"/>
  <c r="J307" i="7"/>
  <c r="J298" i="7"/>
  <c r="J303" i="7"/>
  <c r="J282" i="7"/>
  <c r="J305" i="7"/>
  <c r="J309" i="7"/>
  <c r="J286" i="7"/>
  <c r="J308" i="7"/>
  <c r="J285" i="7"/>
  <c r="AH175" i="7"/>
  <c r="AG175" i="7"/>
  <c r="AI175" i="7"/>
  <c r="AH170" i="7"/>
  <c r="AI170" i="7"/>
  <c r="AG170" i="7"/>
  <c r="AH165" i="7"/>
  <c r="AI165" i="7"/>
  <c r="AG165" i="7"/>
  <c r="AH169" i="7"/>
  <c r="AI169" i="7"/>
  <c r="AG169" i="7"/>
  <c r="AH173" i="7"/>
  <c r="AG173" i="7"/>
  <c r="AI173" i="7"/>
  <c r="J22" i="7"/>
  <c r="J291" i="7"/>
  <c r="AI162" i="7"/>
  <c r="AG162" i="7"/>
  <c r="AH162" i="7"/>
  <c r="AH146" i="7"/>
  <c r="AG146" i="7"/>
  <c r="AI146" i="7"/>
  <c r="J300" i="7"/>
  <c r="AI158" i="7"/>
  <c r="AG158" i="7"/>
  <c r="AH158" i="7"/>
  <c r="AH147" i="7"/>
  <c r="AG147" i="7"/>
  <c r="AI147" i="7"/>
  <c r="J277" i="7"/>
  <c r="AH152" i="7"/>
  <c r="AI152" i="7"/>
  <c r="AG152" i="7"/>
  <c r="AI161" i="7"/>
  <c r="AG161" i="7"/>
  <c r="AH161" i="7"/>
  <c r="V161" i="7"/>
  <c r="R161" i="7"/>
  <c r="Z161" i="7"/>
  <c r="U161" i="7"/>
  <c r="W161" i="7"/>
  <c r="AK161" i="7"/>
  <c r="X161" i="7"/>
  <c r="T161" i="7"/>
  <c r="Q161" i="7"/>
  <c r="AF161" i="7"/>
  <c r="AD161" i="7"/>
  <c r="AA161" i="7"/>
  <c r="S161" i="7"/>
  <c r="AJ161" i="7"/>
  <c r="AL161" i="7"/>
  <c r="Y161" i="7"/>
  <c r="AE161" i="7"/>
  <c r="AC161" i="7"/>
  <c r="AB161" i="7"/>
  <c r="J276" i="7"/>
  <c r="J302" i="7"/>
  <c r="AI157" i="7"/>
  <c r="AG157" i="7"/>
  <c r="AH157" i="7"/>
  <c r="AD157" i="7"/>
  <c r="W157" i="7"/>
  <c r="S157" i="7"/>
  <c r="Q157" i="7"/>
  <c r="AC157" i="7"/>
  <c r="T157" i="7"/>
  <c r="Y157" i="7"/>
  <c r="X157" i="7"/>
  <c r="V157" i="7"/>
  <c r="U157" i="7"/>
  <c r="AA157" i="7"/>
  <c r="AB157" i="7"/>
  <c r="R157" i="7"/>
  <c r="AF157" i="7"/>
  <c r="AE157" i="7"/>
  <c r="AK157" i="7"/>
  <c r="AL157" i="7"/>
  <c r="AJ157" i="7"/>
  <c r="Z157" i="7"/>
  <c r="J284" i="7"/>
  <c r="J283" i="7"/>
  <c r="J293" i="7"/>
  <c r="AH166" i="7"/>
  <c r="AI166" i="7"/>
  <c r="AG166" i="7"/>
  <c r="AH144" i="7"/>
  <c r="AG144" i="7"/>
  <c r="AI144" i="7"/>
  <c r="AF144" i="7"/>
  <c r="R144" i="7"/>
  <c r="AJ144" i="7"/>
  <c r="AE144" i="7"/>
  <c r="AL144" i="7"/>
  <c r="AK144" i="7"/>
  <c r="AC144" i="7"/>
  <c r="U144" i="7"/>
  <c r="W144" i="7"/>
  <c r="T144" i="7"/>
  <c r="Q144" i="7"/>
  <c r="S144" i="7"/>
  <c r="AD144" i="7"/>
  <c r="AB144" i="7"/>
  <c r="Y144" i="7"/>
  <c r="X144" i="7"/>
  <c r="V144" i="7"/>
  <c r="AA144" i="7"/>
  <c r="Z144" i="7"/>
  <c r="J292" i="7"/>
  <c r="AH151" i="7"/>
  <c r="AG151" i="7"/>
  <c r="AI151" i="7"/>
  <c r="AI51" i="8"/>
  <c r="AI49" i="8"/>
  <c r="K285" i="7"/>
  <c r="K308" i="7"/>
  <c r="K292" i="7"/>
  <c r="K282" i="7"/>
  <c r="K288" i="7"/>
  <c r="K283" i="7"/>
  <c r="K284" i="7"/>
  <c r="K297" i="7"/>
  <c r="K299" i="7"/>
  <c r="K304" i="7"/>
  <c r="K279" i="7"/>
  <c r="K305" i="7"/>
  <c r="K296" i="7"/>
  <c r="K281" i="7"/>
  <c r="K295" i="7"/>
  <c r="K302" i="7"/>
  <c r="AD44" i="8"/>
  <c r="AD50" i="8" s="1"/>
  <c r="K169" i="7"/>
  <c r="K175" i="7"/>
  <c r="Z10" i="8"/>
  <c r="Q170" i="7"/>
  <c r="V170" i="7"/>
  <c r="AL170" i="7"/>
  <c r="AK170" i="7"/>
  <c r="AJ170" i="7"/>
  <c r="AE170" i="7"/>
  <c r="AD170" i="7"/>
  <c r="AB170" i="7"/>
  <c r="AA170" i="7"/>
  <c r="W170" i="7"/>
  <c r="AF170" i="7"/>
  <c r="AC170" i="7"/>
  <c r="Z170" i="7"/>
  <c r="Y170" i="7"/>
  <c r="X170" i="7"/>
  <c r="U170" i="7"/>
  <c r="S170" i="7"/>
  <c r="T170" i="7"/>
  <c r="R170" i="7"/>
  <c r="E109" i="7"/>
  <c r="H109" i="7" s="1"/>
  <c r="F136" i="3"/>
  <c r="F141" i="3"/>
  <c r="AF44" i="8"/>
  <c r="AF50" i="8" s="1"/>
  <c r="J124" i="11" s="1"/>
  <c r="E136" i="3"/>
  <c r="I10" i="8"/>
  <c r="M78" i="9"/>
  <c r="AG44" i="8"/>
  <c r="AG50" i="8" s="1"/>
  <c r="E118" i="7"/>
  <c r="H118" i="7" s="1"/>
  <c r="K298" i="7"/>
  <c r="P71" i="8"/>
  <c r="P70" i="8" s="1"/>
  <c r="AA146" i="7"/>
  <c r="AK146" i="7"/>
  <c r="AF146" i="7"/>
  <c r="AE146" i="7"/>
  <c r="AB146" i="7"/>
  <c r="Z146" i="7"/>
  <c r="W146" i="7"/>
  <c r="S146" i="7"/>
  <c r="AL146" i="7"/>
  <c r="AJ146" i="7"/>
  <c r="AD146" i="7"/>
  <c r="AC146" i="7"/>
  <c r="Y146" i="7"/>
  <c r="X146" i="7"/>
  <c r="Q146" i="7"/>
  <c r="V146" i="7"/>
  <c r="U146" i="7"/>
  <c r="T146" i="7"/>
  <c r="R146" i="7"/>
  <c r="F188" i="7"/>
  <c r="H188" i="7" s="1"/>
  <c r="J188" i="7" s="1"/>
  <c r="E188" i="7"/>
  <c r="F142" i="3"/>
  <c r="K168" i="7"/>
  <c r="K174" i="7"/>
  <c r="AR10" i="8"/>
  <c r="AN10" i="8"/>
  <c r="K153" i="7"/>
  <c r="U10" i="8"/>
  <c r="O10" i="8"/>
  <c r="K150" i="7"/>
  <c r="X10" i="8"/>
  <c r="AI10" i="8"/>
  <c r="K161" i="7"/>
  <c r="K155" i="7"/>
  <c r="AM10" i="8"/>
  <c r="S10" i="8"/>
  <c r="K159" i="7"/>
  <c r="AA10" i="8"/>
  <c r="K177" i="7"/>
  <c r="L10" i="8"/>
  <c r="AH10" i="8"/>
  <c r="K149" i="7"/>
  <c r="AL10" i="8"/>
  <c r="K167" i="7"/>
  <c r="Q10" i="8"/>
  <c r="M10" i="8"/>
  <c r="AC10" i="8"/>
  <c r="AB10" i="8"/>
  <c r="N10" i="8"/>
  <c r="AP10" i="8"/>
  <c r="P10" i="8"/>
  <c r="K160" i="7"/>
  <c r="K163" i="7"/>
  <c r="R10" i="8"/>
  <c r="V10" i="8"/>
  <c r="AO10" i="8"/>
  <c r="AK10" i="8"/>
  <c r="T10" i="8"/>
  <c r="AJ10" i="8"/>
  <c r="K156" i="7"/>
  <c r="K148" i="7"/>
  <c r="AQ10" i="8"/>
  <c r="W10" i="8"/>
  <c r="K172" i="7"/>
  <c r="Y10" i="8"/>
  <c r="K157" i="7"/>
  <c r="K144" i="7"/>
  <c r="K154" i="7"/>
  <c r="K176" i="7"/>
  <c r="K145" i="7"/>
  <c r="K171" i="7"/>
  <c r="K164" i="7"/>
  <c r="Y165" i="7"/>
  <c r="W165" i="7"/>
  <c r="AL165" i="7"/>
  <c r="AJ165" i="7"/>
  <c r="AF165" i="7"/>
  <c r="AE165" i="7"/>
  <c r="AD165" i="7"/>
  <c r="AC165" i="7"/>
  <c r="AA165" i="7"/>
  <c r="Z165" i="7"/>
  <c r="V165" i="7"/>
  <c r="U165" i="7"/>
  <c r="Q165" i="7"/>
  <c r="AK165" i="7"/>
  <c r="AB165" i="7"/>
  <c r="X165" i="7"/>
  <c r="T165" i="7"/>
  <c r="S165" i="7"/>
  <c r="R165" i="7"/>
  <c r="K301" i="7"/>
  <c r="AL152" i="7"/>
  <c r="AC152" i="7"/>
  <c r="AA152" i="7"/>
  <c r="Z152" i="7"/>
  <c r="Y152" i="7"/>
  <c r="X152" i="7"/>
  <c r="W152" i="7"/>
  <c r="U152" i="7"/>
  <c r="T152" i="7"/>
  <c r="Q152" i="7"/>
  <c r="V152" i="7"/>
  <c r="S152" i="7"/>
  <c r="R152" i="7"/>
  <c r="AK152" i="7"/>
  <c r="AJ152" i="7"/>
  <c r="AF152" i="7"/>
  <c r="AE152" i="7"/>
  <c r="AD152" i="7"/>
  <c r="AB152" i="7"/>
  <c r="G143" i="3"/>
  <c r="K166" i="7"/>
  <c r="K158" i="7"/>
  <c r="H141" i="3"/>
  <c r="H136" i="3"/>
  <c r="E117" i="7"/>
  <c r="H117" i="7" s="1"/>
  <c r="R49" i="8"/>
  <c r="R50" i="8"/>
  <c r="J116" i="11" s="1"/>
  <c r="K286" i="7"/>
  <c r="AF10" i="8"/>
  <c r="AC51" i="8"/>
  <c r="E111" i="7"/>
  <c r="H111" i="7" s="1"/>
  <c r="Z67" i="8"/>
  <c r="Z72" i="8" s="1"/>
  <c r="K147" i="7"/>
  <c r="K152" i="7"/>
  <c r="AE71" i="8"/>
  <c r="AE70" i="8" s="1"/>
  <c r="K151" i="7"/>
  <c r="S166" i="7"/>
  <c r="R166" i="7"/>
  <c r="AE166" i="7"/>
  <c r="AC166" i="7"/>
  <c r="AB166" i="7"/>
  <c r="AA166" i="7"/>
  <c r="Z166" i="7"/>
  <c r="Y166" i="7"/>
  <c r="W166" i="7"/>
  <c r="V166" i="7"/>
  <c r="T166" i="7"/>
  <c r="Q166" i="7"/>
  <c r="AF166" i="7"/>
  <c r="AD166" i="7"/>
  <c r="X166" i="7"/>
  <c r="U166" i="7"/>
  <c r="AL166" i="7"/>
  <c r="AK166" i="7"/>
  <c r="AJ166" i="7"/>
  <c r="AO51" i="8"/>
  <c r="AE44" i="8"/>
  <c r="AE50" i="8" s="1"/>
  <c r="E115" i="7"/>
  <c r="H115" i="7" s="1"/>
  <c r="K165" i="7"/>
  <c r="G141" i="3"/>
  <c r="G136" i="3"/>
  <c r="K38" i="8"/>
  <c r="K40" i="8" s="1"/>
  <c r="K34" i="8" s="1"/>
  <c r="K44" i="8" s="1"/>
  <c r="K63" i="8"/>
  <c r="K59" i="8" s="1"/>
  <c r="K10" i="8"/>
  <c r="AG10" i="8"/>
  <c r="AE72" i="8"/>
  <c r="S162" i="7"/>
  <c r="Z162" i="7"/>
  <c r="X162" i="7"/>
  <c r="W162" i="7"/>
  <c r="V162" i="7"/>
  <c r="U162" i="7"/>
  <c r="T162" i="7"/>
  <c r="Q162" i="7"/>
  <c r="AF162" i="7"/>
  <c r="AL162" i="7"/>
  <c r="AK162" i="7"/>
  <c r="AJ162" i="7"/>
  <c r="AE162" i="7"/>
  <c r="AD162" i="7"/>
  <c r="AC162" i="7"/>
  <c r="AB162" i="7"/>
  <c r="AA162" i="7"/>
  <c r="Y162" i="7"/>
  <c r="R162" i="7"/>
  <c r="S151" i="7"/>
  <c r="AK151" i="7"/>
  <c r="AF151" i="7"/>
  <c r="AD151" i="7"/>
  <c r="AC151" i="7"/>
  <c r="AB151" i="7"/>
  <c r="Z151" i="7"/>
  <c r="Y151" i="7"/>
  <c r="V151" i="7"/>
  <c r="Q151" i="7"/>
  <c r="AL151" i="7"/>
  <c r="AJ151" i="7"/>
  <c r="U151" i="7"/>
  <c r="T151" i="7"/>
  <c r="R151" i="7"/>
  <c r="X151" i="7"/>
  <c r="AA151" i="7"/>
  <c r="W151" i="7"/>
  <c r="AE151" i="7"/>
  <c r="K170" i="7"/>
  <c r="AC71" i="8"/>
  <c r="AC70" i="8" s="1"/>
  <c r="H82" i="11" s="1"/>
  <c r="P72" i="8"/>
  <c r="E116" i="7"/>
  <c r="H116" i="7" s="1"/>
  <c r="AD29" i="8"/>
  <c r="E110" i="7"/>
  <c r="I110" i="7" s="1"/>
  <c r="U158" i="7"/>
  <c r="W158" i="7"/>
  <c r="T158" i="7"/>
  <c r="S158" i="7"/>
  <c r="R158" i="7"/>
  <c r="Q158" i="7"/>
  <c r="AJ158" i="7"/>
  <c r="AC158" i="7"/>
  <c r="Z158" i="7"/>
  <c r="Y158" i="7"/>
  <c r="X158" i="7"/>
  <c r="V158" i="7"/>
  <c r="AK158" i="7"/>
  <c r="AF158" i="7"/>
  <c r="AE158" i="7"/>
  <c r="AD158" i="7"/>
  <c r="AB158" i="7"/>
  <c r="AL158" i="7"/>
  <c r="AA158" i="7"/>
  <c r="W169" i="7"/>
  <c r="AA169" i="7"/>
  <c r="S169" i="7"/>
  <c r="Q169" i="7"/>
  <c r="AL169" i="7"/>
  <c r="AK169" i="7"/>
  <c r="AF169" i="7"/>
  <c r="AE169" i="7"/>
  <c r="Z169" i="7"/>
  <c r="AB169" i="7"/>
  <c r="Y169" i="7"/>
  <c r="X169" i="7"/>
  <c r="V169" i="7"/>
  <c r="U169" i="7"/>
  <c r="T169" i="7"/>
  <c r="R169" i="7"/>
  <c r="AJ169" i="7"/>
  <c r="AC169" i="7"/>
  <c r="AD169" i="7"/>
  <c r="K294" i="7"/>
  <c r="AE175" i="7"/>
  <c r="T175" i="7"/>
  <c r="U175" i="7"/>
  <c r="R175" i="7"/>
  <c r="Q175" i="7"/>
  <c r="AL175" i="7"/>
  <c r="AJ175" i="7"/>
  <c r="AF175" i="7"/>
  <c r="AA175" i="7"/>
  <c r="AK175" i="7"/>
  <c r="AD175" i="7"/>
  <c r="AC175" i="7"/>
  <c r="AB175" i="7"/>
  <c r="Z175" i="7"/>
  <c r="Y175" i="7"/>
  <c r="V175" i="7"/>
  <c r="S175" i="7"/>
  <c r="X175" i="7"/>
  <c r="W175" i="7"/>
  <c r="K291" i="7"/>
  <c r="N66" i="6"/>
  <c r="K307" i="7"/>
  <c r="E108" i="7"/>
  <c r="I108" i="7" s="1"/>
  <c r="K289" i="7"/>
  <c r="H131" i="7"/>
  <c r="J130" i="7"/>
  <c r="AC49" i="8"/>
  <c r="J10" i="8"/>
  <c r="K277" i="7"/>
  <c r="K276" i="7"/>
  <c r="U173" i="7"/>
  <c r="AD173" i="7"/>
  <c r="AB173" i="7"/>
  <c r="Z173" i="7"/>
  <c r="Y173" i="7"/>
  <c r="X173" i="7"/>
  <c r="W173" i="7"/>
  <c r="V173" i="7"/>
  <c r="S173" i="7"/>
  <c r="R173" i="7"/>
  <c r="AL173" i="7"/>
  <c r="AK173" i="7"/>
  <c r="AJ173" i="7"/>
  <c r="AC173" i="7"/>
  <c r="AA173" i="7"/>
  <c r="T173" i="7"/>
  <c r="Q173" i="7"/>
  <c r="AF173" i="7"/>
  <c r="AE173" i="7"/>
  <c r="K162" i="7"/>
  <c r="K300" i="7"/>
  <c r="K309" i="7"/>
  <c r="AG72" i="8"/>
  <c r="E113" i="7"/>
  <c r="I113" i="7" s="1"/>
  <c r="E114" i="7"/>
  <c r="I114" i="7" s="1"/>
  <c r="Y71" i="8"/>
  <c r="Y70" i="8" s="1"/>
  <c r="J50" i="8"/>
  <c r="J49" i="8"/>
  <c r="K290" i="7"/>
  <c r="K278" i="7"/>
  <c r="K306" i="7"/>
  <c r="K280" i="7"/>
  <c r="K293" i="7"/>
  <c r="AD57" i="8"/>
  <c r="AE10" i="8"/>
  <c r="Z44" i="8"/>
  <c r="Z50" i="8" s="1"/>
  <c r="U147" i="7"/>
  <c r="AE147" i="7"/>
  <c r="AC147" i="7"/>
  <c r="AA147" i="7"/>
  <c r="Z147" i="7"/>
  <c r="W147" i="7"/>
  <c r="V147" i="7"/>
  <c r="R147" i="7"/>
  <c r="AL147" i="7"/>
  <c r="AK147" i="7"/>
  <c r="Y147" i="7"/>
  <c r="X147" i="7"/>
  <c r="T147" i="7"/>
  <c r="S147" i="7"/>
  <c r="AJ147" i="7"/>
  <c r="Q147" i="7"/>
  <c r="AF147" i="7"/>
  <c r="AD147" i="7"/>
  <c r="AB147" i="7"/>
  <c r="AD67" i="8"/>
  <c r="K173" i="7"/>
  <c r="AO49" i="8"/>
  <c r="E112" i="7"/>
  <c r="H112" i="7" s="1"/>
  <c r="K146" i="7"/>
  <c r="E191" i="7" l="1"/>
  <c r="AU9" i="8"/>
  <c r="O225" i="6"/>
  <c r="AS9" i="8"/>
  <c r="AW9" i="8"/>
  <c r="P225" i="6"/>
  <c r="AK12" i="8" s="1"/>
  <c r="AV9" i="8"/>
  <c r="P226" i="6"/>
  <c r="J26" i="10"/>
  <c r="O226" i="6"/>
  <c r="J27" i="10"/>
  <c r="E192" i="7"/>
  <c r="E197" i="7"/>
  <c r="E207" i="7"/>
  <c r="E205" i="7"/>
  <c r="E196" i="7"/>
  <c r="E189" i="7"/>
  <c r="E199" i="7"/>
  <c r="E203" i="7"/>
  <c r="E201" i="7"/>
  <c r="E206" i="7"/>
  <c r="J125" i="11"/>
  <c r="AJ51" i="8"/>
  <c r="AJ49" i="8"/>
  <c r="AQ49" i="8"/>
  <c r="J123" i="11"/>
  <c r="AS12" i="8"/>
  <c r="Z13" i="8"/>
  <c r="AV12" i="8"/>
  <c r="AT13" i="8"/>
  <c r="AW13" i="8"/>
  <c r="AV13" i="8"/>
  <c r="AT12" i="8"/>
  <c r="AW12" i="8"/>
  <c r="AU12" i="8"/>
  <c r="AS13" i="8"/>
  <c r="AQ51" i="8"/>
  <c r="J119" i="11"/>
  <c r="U49" i="8"/>
  <c r="U51" i="8"/>
  <c r="J315" i="7"/>
  <c r="K315" i="7"/>
  <c r="O222" i="6"/>
  <c r="P222" i="6"/>
  <c r="AH12" i="8" s="1"/>
  <c r="W12" i="8"/>
  <c r="O223" i="6"/>
  <c r="P223" i="6"/>
  <c r="P224" i="6"/>
  <c r="O221" i="6"/>
  <c r="P221" i="6"/>
  <c r="O66" i="6"/>
  <c r="H243" i="7" s="1"/>
  <c r="O111" i="6"/>
  <c r="O113" i="6" s="1"/>
  <c r="P172" i="6"/>
  <c r="P207" i="6" s="1"/>
  <c r="P171" i="6"/>
  <c r="P153" i="6"/>
  <c r="P155" i="6" s="1"/>
  <c r="W51" i="8"/>
  <c r="W49" i="8"/>
  <c r="AL51" i="8"/>
  <c r="K127" i="11" s="1"/>
  <c r="G263" i="7"/>
  <c r="AM51" i="8"/>
  <c r="J120" i="11"/>
  <c r="J126" i="11"/>
  <c r="J122" i="11"/>
  <c r="J121" i="11"/>
  <c r="AL49" i="8"/>
  <c r="I127" i="11" s="1"/>
  <c r="AA51" i="8"/>
  <c r="G264" i="7"/>
  <c r="F244" i="7"/>
  <c r="AA49" i="8"/>
  <c r="AB72" i="8"/>
  <c r="AB51" i="8"/>
  <c r="AB49" i="8"/>
  <c r="AM49" i="8"/>
  <c r="V49" i="8"/>
  <c r="V51" i="8"/>
  <c r="L51" i="8"/>
  <c r="K110" i="11" s="1"/>
  <c r="P51" i="8"/>
  <c r="K114" i="11" s="1"/>
  <c r="AH49" i="8"/>
  <c r="X49" i="8"/>
  <c r="X50" i="8"/>
  <c r="AH71" i="8"/>
  <c r="AH70" i="8" s="1"/>
  <c r="AH51" i="8"/>
  <c r="P49" i="8"/>
  <c r="I114" i="11" s="1"/>
  <c r="L49" i="8"/>
  <c r="I110" i="11" s="1"/>
  <c r="AK49" i="8"/>
  <c r="T72" i="8"/>
  <c r="T71" i="8"/>
  <c r="T70" i="8" s="1"/>
  <c r="AK51" i="8"/>
  <c r="AA72" i="8"/>
  <c r="Q49" i="8"/>
  <c r="I115" i="11" s="1"/>
  <c r="Q50" i="8"/>
  <c r="J115" i="11" s="1"/>
  <c r="AN49" i="8"/>
  <c r="Y49" i="8"/>
  <c r="AN51" i="8"/>
  <c r="L72" i="8"/>
  <c r="G241" i="7"/>
  <c r="G242" i="7"/>
  <c r="G243" i="7"/>
  <c r="R71" i="8"/>
  <c r="R70" i="8" s="1"/>
  <c r="AP71" i="8"/>
  <c r="AP70" i="8" s="1"/>
  <c r="M49" i="8"/>
  <c r="I111" i="11" s="1"/>
  <c r="U71" i="8"/>
  <c r="U70" i="8" s="1"/>
  <c r="M51" i="8"/>
  <c r="K111" i="11" s="1"/>
  <c r="AK71" i="8"/>
  <c r="AK70" i="8" s="1"/>
  <c r="O71" i="8"/>
  <c r="O70" i="8" s="1"/>
  <c r="S49" i="8"/>
  <c r="I117" i="11" s="1"/>
  <c r="S50" i="8"/>
  <c r="N51" i="8"/>
  <c r="K112" i="11" s="1"/>
  <c r="N49" i="8"/>
  <c r="I112" i="11" s="1"/>
  <c r="Y51" i="8"/>
  <c r="AF72" i="8"/>
  <c r="T51" i="8"/>
  <c r="AR50" i="8"/>
  <c r="AR51" i="8"/>
  <c r="AO71" i="8"/>
  <c r="AO70" i="8" s="1"/>
  <c r="AO72" i="8"/>
  <c r="AP51" i="8"/>
  <c r="AP49" i="8"/>
  <c r="O208" i="6"/>
  <c r="K12" i="8" s="1"/>
  <c r="Q109" i="11"/>
  <c r="AA9" i="8"/>
  <c r="N147" i="6"/>
  <c r="AE9" i="8"/>
  <c r="X9" i="8"/>
  <c r="AF9" i="8"/>
  <c r="S9" i="8"/>
  <c r="AB9" i="8"/>
  <c r="O151" i="6"/>
  <c r="O172" i="6" s="1"/>
  <c r="O207" i="6" s="1"/>
  <c r="U9" i="8"/>
  <c r="AL9" i="8"/>
  <c r="W9" i="8"/>
  <c r="L9" i="8"/>
  <c r="J9" i="8"/>
  <c r="S12" i="8"/>
  <c r="AC12" i="8"/>
  <c r="M12" i="8"/>
  <c r="Q9" i="8"/>
  <c r="O12" i="8"/>
  <c r="AG9" i="8"/>
  <c r="Z9" i="8"/>
  <c r="AQ13" i="8"/>
  <c r="AO9" i="8"/>
  <c r="AC9" i="8"/>
  <c r="Y9" i="8"/>
  <c r="V9" i="8"/>
  <c r="AM13" i="8"/>
  <c r="M9" i="8"/>
  <c r="P9" i="8"/>
  <c r="X12" i="8"/>
  <c r="R9" i="8"/>
  <c r="T9" i="8"/>
  <c r="P12" i="8"/>
  <c r="AD9" i="8"/>
  <c r="AF12" i="8"/>
  <c r="Q12" i="8"/>
  <c r="O9" i="8"/>
  <c r="W13" i="8"/>
  <c r="AP12" i="8"/>
  <c r="AB12" i="8"/>
  <c r="N12" i="8"/>
  <c r="AK9" i="8"/>
  <c r="V13" i="8"/>
  <c r="AP9" i="8"/>
  <c r="K9" i="8"/>
  <c r="AR13" i="8"/>
  <c r="N9" i="8"/>
  <c r="T49" i="8"/>
  <c r="G144" i="3"/>
  <c r="AO13" i="8"/>
  <c r="AN9" i="8"/>
  <c r="S71" i="8"/>
  <c r="S70" i="8" s="1"/>
  <c r="H117" i="11" s="1"/>
  <c r="AH9" i="8"/>
  <c r="AJ9" i="8"/>
  <c r="V12" i="8"/>
  <c r="Y13" i="8"/>
  <c r="AN13" i="8"/>
  <c r="O51" i="8"/>
  <c r="K113" i="11" s="1"/>
  <c r="O50" i="8"/>
  <c r="AP13" i="8"/>
  <c r="AR12" i="8"/>
  <c r="AI9" i="8"/>
  <c r="Z12" i="8"/>
  <c r="AR9" i="8"/>
  <c r="H144" i="3"/>
  <c r="J14" i="9"/>
  <c r="M14" i="9" s="1"/>
  <c r="X13" i="8"/>
  <c r="AM9" i="8"/>
  <c r="AA13" i="8"/>
  <c r="AO12" i="8"/>
  <c r="Y12" i="8"/>
  <c r="AQ12" i="8"/>
  <c r="AM12" i="8"/>
  <c r="AN12" i="8"/>
  <c r="U12" i="8"/>
  <c r="AA12" i="8"/>
  <c r="AQ9" i="8"/>
  <c r="I9" i="8"/>
  <c r="AR72" i="8"/>
  <c r="AR71" i="8"/>
  <c r="AR70" i="8" s="1"/>
  <c r="H110" i="7"/>
  <c r="J110" i="7" s="1"/>
  <c r="AG51" i="8"/>
  <c r="K125" i="11" s="1"/>
  <c r="S276" i="7"/>
  <c r="I109" i="7"/>
  <c r="J109" i="7" s="1"/>
  <c r="AF49" i="8"/>
  <c r="I124" i="11" s="1"/>
  <c r="AI48" i="8"/>
  <c r="AE51" i="8"/>
  <c r="AD51" i="8"/>
  <c r="AF51" i="8"/>
  <c r="K124" i="11" s="1"/>
  <c r="J48" i="8"/>
  <c r="AO48" i="8"/>
  <c r="I107" i="7"/>
  <c r="J107" i="7" s="1"/>
  <c r="H113" i="7"/>
  <c r="J113" i="7" s="1"/>
  <c r="I116" i="7"/>
  <c r="J116" i="7" s="1"/>
  <c r="I115" i="7"/>
  <c r="J115" i="7" s="1"/>
  <c r="I118" i="7"/>
  <c r="J118" i="7" s="1"/>
  <c r="I111" i="7"/>
  <c r="J111" i="7" s="1"/>
  <c r="I112" i="7"/>
  <c r="J112" i="7" s="1"/>
  <c r="K50" i="8"/>
  <c r="J109" i="11" s="1"/>
  <c r="K49" i="8"/>
  <c r="H108" i="7"/>
  <c r="J108" i="7" s="1"/>
  <c r="AG49" i="8"/>
  <c r="I117" i="7"/>
  <c r="J117" i="7" s="1"/>
  <c r="AD12" i="8"/>
  <c r="H114" i="7"/>
  <c r="J114" i="7" s="1"/>
  <c r="Z71" i="8"/>
  <c r="Z70" i="8" s="1"/>
  <c r="F144" i="3"/>
  <c r="H10" i="8"/>
  <c r="AE12" i="8"/>
  <c r="Z51" i="8"/>
  <c r="K67" i="8"/>
  <c r="H66" i="8" s="1"/>
  <c r="K57" i="8"/>
  <c r="AC48" i="8"/>
  <c r="I116" i="11"/>
  <c r="R48" i="8"/>
  <c r="H132" i="7"/>
  <c r="J131" i="7"/>
  <c r="T276" i="7"/>
  <c r="K51" i="8"/>
  <c r="K109" i="11" s="1"/>
  <c r="L12" i="8"/>
  <c r="Z49" i="8"/>
  <c r="R12" i="8"/>
  <c r="AD71" i="8"/>
  <c r="AD70" i="8" s="1"/>
  <c r="AD72" i="8"/>
  <c r="T12" i="8"/>
  <c r="AE49" i="8"/>
  <c r="AD49" i="8"/>
  <c r="J28" i="10" l="1"/>
  <c r="J32" i="10" s="1"/>
  <c r="J40" i="9" s="1"/>
  <c r="J44" i="9" s="1"/>
  <c r="M44" i="9" s="1"/>
  <c r="P110" i="11"/>
  <c r="P117" i="11"/>
  <c r="J118" i="11"/>
  <c r="J117" i="11"/>
  <c r="J36" i="10"/>
  <c r="AJ48" i="8"/>
  <c r="AQ48" i="8"/>
  <c r="U48" i="8"/>
  <c r="AG12" i="8"/>
  <c r="K119" i="11"/>
  <c r="H241" i="7"/>
  <c r="I241" i="7" s="1"/>
  <c r="J97" i="10" s="1"/>
  <c r="H242" i="7"/>
  <c r="I242" i="7" s="1"/>
  <c r="J98" i="10" s="1"/>
  <c r="AI12" i="8"/>
  <c r="J18" i="10"/>
  <c r="P170" i="6"/>
  <c r="P206" i="6"/>
  <c r="W48" i="8"/>
  <c r="AM48" i="8"/>
  <c r="K123" i="11"/>
  <c r="K120" i="11"/>
  <c r="I121" i="11"/>
  <c r="K122" i="11"/>
  <c r="AJ12" i="8"/>
  <c r="AL12" i="8"/>
  <c r="AL48" i="8"/>
  <c r="AA48" i="8"/>
  <c r="K118" i="11"/>
  <c r="I118" i="11"/>
  <c r="K126" i="11"/>
  <c r="K121" i="11"/>
  <c r="I126" i="11"/>
  <c r="AB48" i="8"/>
  <c r="V48" i="8"/>
  <c r="I120" i="11"/>
  <c r="X48" i="8"/>
  <c r="AH48" i="8"/>
  <c r="L48" i="8"/>
  <c r="K72" i="8"/>
  <c r="P48" i="8"/>
  <c r="R69" i="8"/>
  <c r="AK48" i="8"/>
  <c r="AN48" i="8"/>
  <c r="Q48" i="8"/>
  <c r="N48" i="8"/>
  <c r="M48" i="8"/>
  <c r="Y48" i="8"/>
  <c r="I243" i="7"/>
  <c r="J99" i="10" s="1"/>
  <c r="P116" i="11"/>
  <c r="P113" i="11"/>
  <c r="P111" i="11"/>
  <c r="P112" i="11"/>
  <c r="S48" i="8"/>
  <c r="P114" i="11"/>
  <c r="P121" i="11"/>
  <c r="P124" i="11"/>
  <c r="P120" i="11"/>
  <c r="P115" i="11"/>
  <c r="P123" i="11"/>
  <c r="AR48" i="8"/>
  <c r="AP48" i="8"/>
  <c r="T48" i="8"/>
  <c r="P122" i="11"/>
  <c r="I119" i="11"/>
  <c r="P119" i="11"/>
  <c r="P118" i="11"/>
  <c r="P109" i="11"/>
  <c r="P126" i="11"/>
  <c r="P125" i="11"/>
  <c r="P127" i="11"/>
  <c r="M40" i="9"/>
  <c r="O153" i="6"/>
  <c r="J18" i="9" s="1"/>
  <c r="O171" i="6"/>
  <c r="O206" i="6" s="1"/>
  <c r="J42" i="10"/>
  <c r="H9" i="8"/>
  <c r="BA9" i="8" s="1"/>
  <c r="AR69" i="8"/>
  <c r="AM69" i="8"/>
  <c r="J113" i="11"/>
  <c r="O48" i="8"/>
  <c r="AF48" i="8"/>
  <c r="Z48" i="8"/>
  <c r="K71" i="8"/>
  <c r="I123" i="11"/>
  <c r="AE48" i="8"/>
  <c r="I109" i="11"/>
  <c r="K48" i="8"/>
  <c r="I125" i="11"/>
  <c r="AG48" i="8"/>
  <c r="J12" i="8"/>
  <c r="J132" i="7"/>
  <c r="H133" i="7"/>
  <c r="J17" i="10"/>
  <c r="N170" i="6"/>
  <c r="I122" i="11"/>
  <c r="AD48" i="8"/>
  <c r="AO69" i="8" l="1"/>
  <c r="K70" i="8"/>
  <c r="K69" i="8" s="1"/>
  <c r="J19" i="10"/>
  <c r="J23" i="10" s="1"/>
  <c r="J39" i="9" s="1"/>
  <c r="J17" i="9"/>
  <c r="M17" i="9" s="1"/>
  <c r="P205" i="6"/>
  <c r="U69" i="8"/>
  <c r="AK69" i="8"/>
  <c r="H91" i="11"/>
  <c r="I174" i="7"/>
  <c r="I151" i="7"/>
  <c r="J151" i="7" s="1"/>
  <c r="H116" i="11"/>
  <c r="Z69" i="8"/>
  <c r="AN69" i="8"/>
  <c r="X69" i="8"/>
  <c r="AJ69" i="8"/>
  <c r="AB69" i="8"/>
  <c r="W69" i="8"/>
  <c r="O69" i="8"/>
  <c r="Q69" i="8"/>
  <c r="Y69" i="8"/>
  <c r="AQ69" i="8"/>
  <c r="AC69" i="8"/>
  <c r="N69" i="8"/>
  <c r="T69" i="8"/>
  <c r="AG69" i="8"/>
  <c r="AL69" i="8"/>
  <c r="V69" i="8"/>
  <c r="AI69" i="8"/>
  <c r="P69" i="8"/>
  <c r="AA69" i="8"/>
  <c r="AE69" i="8"/>
  <c r="H87" i="11"/>
  <c r="I154" i="7"/>
  <c r="J154" i="7" s="1"/>
  <c r="AD69" i="8"/>
  <c r="K99" i="10"/>
  <c r="F251" i="7" s="1"/>
  <c r="M18" i="9"/>
  <c r="O155" i="6"/>
  <c r="J27" i="9" s="1"/>
  <c r="M27" i="9" s="1"/>
  <c r="O170" i="6"/>
  <c r="J90" i="10"/>
  <c r="K62" i="10" s="1"/>
  <c r="F270" i="7"/>
  <c r="H270" i="7" s="1"/>
  <c r="K97" i="10"/>
  <c r="F249" i="7" s="1"/>
  <c r="K98" i="10"/>
  <c r="F250" i="7" s="1"/>
  <c r="I177" i="7"/>
  <c r="J177" i="7" s="1"/>
  <c r="O205" i="6"/>
  <c r="O199" i="6" s="1"/>
  <c r="I12" i="8"/>
  <c r="N205" i="6"/>
  <c r="M69" i="8"/>
  <c r="L69" i="8"/>
  <c r="J133" i="7"/>
  <c r="H134" i="7"/>
  <c r="J178" i="7" s="1"/>
  <c r="J35" i="10"/>
  <c r="J26" i="9" l="1"/>
  <c r="M26" i="9" s="1"/>
  <c r="J19" i="9"/>
  <c r="M19" i="9" s="1"/>
  <c r="J35" i="9"/>
  <c r="M35" i="9" s="1"/>
  <c r="P180" i="6"/>
  <c r="P183" i="6"/>
  <c r="P181" i="6"/>
  <c r="P199" i="6"/>
  <c r="P192" i="6"/>
  <c r="P198" i="6"/>
  <c r="P188" i="6"/>
  <c r="P189" i="6"/>
  <c r="P186" i="6"/>
  <c r="P184" i="6"/>
  <c r="P195" i="6"/>
  <c r="P193" i="6"/>
  <c r="P190" i="6"/>
  <c r="P191" i="6"/>
  <c r="P187" i="6"/>
  <c r="P182" i="6"/>
  <c r="P185" i="6"/>
  <c r="P197" i="6"/>
  <c r="P194" i="6"/>
  <c r="P196" i="6"/>
  <c r="P179" i="6"/>
  <c r="H85" i="11"/>
  <c r="I170" i="7"/>
  <c r="J170" i="7" s="1"/>
  <c r="I172" i="7"/>
  <c r="J172" i="7" s="1"/>
  <c r="H75" i="11"/>
  <c r="I175" i="7"/>
  <c r="J175" i="7" s="1"/>
  <c r="AP69" i="8"/>
  <c r="AH69" i="8"/>
  <c r="AF69" i="8"/>
  <c r="S69" i="8"/>
  <c r="I157" i="7"/>
  <c r="J157" i="7" s="1"/>
  <c r="H78" i="11"/>
  <c r="H89" i="11"/>
  <c r="I173" i="7"/>
  <c r="J173" i="7" s="1"/>
  <c r="I169" i="7"/>
  <c r="J169" i="7" s="1"/>
  <c r="H84" i="11"/>
  <c r="H119" i="11"/>
  <c r="I153" i="7"/>
  <c r="J153" i="7" s="1"/>
  <c r="I161" i="7"/>
  <c r="J161" i="7" s="1"/>
  <c r="H120" i="11"/>
  <c r="H406" i="7"/>
  <c r="G417" i="7" s="1"/>
  <c r="H123" i="11"/>
  <c r="H409" i="7"/>
  <c r="G420" i="7" s="1"/>
  <c r="I164" i="7"/>
  <c r="J164" i="7" s="1"/>
  <c r="H413" i="7"/>
  <c r="G424" i="7" s="1"/>
  <c r="H127" i="11"/>
  <c r="I168" i="7"/>
  <c r="J168" i="7" s="1"/>
  <c r="H410" i="7"/>
  <c r="G421" i="7" s="1"/>
  <c r="H124" i="11"/>
  <c r="I165" i="7"/>
  <c r="J165" i="7" s="1"/>
  <c r="H121" i="11"/>
  <c r="H407" i="7"/>
  <c r="G418" i="7" s="1"/>
  <c r="I162" i="7"/>
  <c r="J162" i="7" s="1"/>
  <c r="I176" i="7"/>
  <c r="J176" i="7" s="1"/>
  <c r="H193" i="7" s="1"/>
  <c r="J193" i="7" s="1"/>
  <c r="H408" i="7"/>
  <c r="G419" i="7" s="1"/>
  <c r="H122" i="11"/>
  <c r="I163" i="7"/>
  <c r="H83" i="11"/>
  <c r="I160" i="7"/>
  <c r="H114" i="11"/>
  <c r="I149" i="7"/>
  <c r="J149" i="7" s="1"/>
  <c r="H125" i="11"/>
  <c r="I166" i="7"/>
  <c r="J166" i="7" s="1"/>
  <c r="H411" i="7"/>
  <c r="G422" i="7" s="1"/>
  <c r="I158" i="7"/>
  <c r="J158" i="7" s="1"/>
  <c r="H79" i="11"/>
  <c r="H81" i="11"/>
  <c r="I159" i="7"/>
  <c r="J159" i="7" s="1"/>
  <c r="I152" i="7"/>
  <c r="J152" i="7" s="1"/>
  <c r="H118" i="11"/>
  <c r="I147" i="7"/>
  <c r="J147" i="7" s="1"/>
  <c r="H112" i="11"/>
  <c r="H115" i="11"/>
  <c r="I150" i="7"/>
  <c r="J150" i="7" s="1"/>
  <c r="H77" i="11"/>
  <c r="I156" i="7"/>
  <c r="J156" i="7" s="1"/>
  <c r="H412" i="7"/>
  <c r="G423" i="7" s="1"/>
  <c r="H126" i="11"/>
  <c r="I167" i="7"/>
  <c r="J167" i="7" s="1"/>
  <c r="H76" i="11"/>
  <c r="I155" i="7"/>
  <c r="J155" i="7" s="1"/>
  <c r="F191" i="7" s="1"/>
  <c r="I171" i="7"/>
  <c r="J171" i="7" s="1"/>
  <c r="F207" i="7" s="1"/>
  <c r="H86" i="11"/>
  <c r="H113" i="11"/>
  <c r="I148" i="7"/>
  <c r="J148" i="7" s="1"/>
  <c r="H109" i="11"/>
  <c r="I144" i="7"/>
  <c r="J144" i="7" s="1"/>
  <c r="J43" i="10"/>
  <c r="H111" i="11"/>
  <c r="I146" i="7"/>
  <c r="J146" i="7" s="1"/>
  <c r="O184" i="6"/>
  <c r="O185" i="6"/>
  <c r="O186" i="6"/>
  <c r="O187" i="6"/>
  <c r="O183" i="6"/>
  <c r="M13" i="8" s="1"/>
  <c r="O181" i="6"/>
  <c r="K13" i="8" s="1"/>
  <c r="O188" i="6"/>
  <c r="R13" i="8" s="1"/>
  <c r="O195" i="6"/>
  <c r="O182" i="6"/>
  <c r="O191" i="6"/>
  <c r="AB13" i="8" s="1"/>
  <c r="O192" i="6"/>
  <c r="AC13" i="8" s="1"/>
  <c r="O196" i="6"/>
  <c r="O197" i="6"/>
  <c r="O189" i="6"/>
  <c r="S13" i="8" s="1"/>
  <c r="O193" i="6"/>
  <c r="AD13" i="8" s="1"/>
  <c r="O194" i="6"/>
  <c r="O190" i="6"/>
  <c r="O198" i="6"/>
  <c r="O180" i="6"/>
  <c r="J50" i="9"/>
  <c r="H12" i="8"/>
  <c r="BA12" i="8" s="1"/>
  <c r="M51" i="9"/>
  <c r="M53" i="9" s="1"/>
  <c r="J51" i="9"/>
  <c r="J53" i="9" s="1"/>
  <c r="M50" i="9"/>
  <c r="O179" i="6"/>
  <c r="H110" i="11"/>
  <c r="I145" i="7"/>
  <c r="J145" i="7" s="1"/>
  <c r="M39" i="9"/>
  <c r="H135" i="7"/>
  <c r="J179" i="7" s="1"/>
  <c r="J134" i="7"/>
  <c r="F192" i="7" l="1"/>
  <c r="P13" i="8"/>
  <c r="N13" i="8"/>
  <c r="L13" i="8"/>
  <c r="Q13" i="8"/>
  <c r="J163" i="7"/>
  <c r="F206" i="7" s="1"/>
  <c r="O13" i="8"/>
  <c r="J13" i="8"/>
  <c r="F203" i="7"/>
  <c r="H203" i="7" s="1"/>
  <c r="J203" i="7" s="1"/>
  <c r="F205" i="7"/>
  <c r="H205" i="7" s="1"/>
  <c r="J205" i="7" s="1"/>
  <c r="F189" i="7"/>
  <c r="H189" i="7" s="1"/>
  <c r="J189" i="7" s="1"/>
  <c r="F196" i="7"/>
  <c r="F199" i="7"/>
  <c r="H199" i="7" s="1"/>
  <c r="J199" i="7" s="1"/>
  <c r="J23" i="9"/>
  <c r="J36" i="9"/>
  <c r="M36" i="9" s="1"/>
  <c r="J28" i="9"/>
  <c r="M28" i="9" s="1"/>
  <c r="P178" i="6"/>
  <c r="AE13" i="8"/>
  <c r="H191" i="7"/>
  <c r="J191" i="7" s="1"/>
  <c r="AG13" i="8"/>
  <c r="AJ13" i="8"/>
  <c r="AF13" i="8"/>
  <c r="AI13" i="8"/>
  <c r="AL13" i="8"/>
  <c r="AH13" i="8"/>
  <c r="AK13" i="8"/>
  <c r="T13" i="8"/>
  <c r="U13" i="8"/>
  <c r="H202" i="7"/>
  <c r="J202" i="7" s="1"/>
  <c r="H200" i="7"/>
  <c r="J200" i="7" s="1"/>
  <c r="H207" i="7"/>
  <c r="J207" i="7" s="1"/>
  <c r="H192" i="7"/>
  <c r="J192" i="7" s="1"/>
  <c r="H194" i="7"/>
  <c r="J194" i="7" s="1"/>
  <c r="N178" i="6"/>
  <c r="J98" i="9"/>
  <c r="J93" i="9"/>
  <c r="F269" i="7"/>
  <c r="M98" i="9"/>
  <c r="M93" i="9"/>
  <c r="N53" i="9"/>
  <c r="M59" i="9"/>
  <c r="M57" i="9" s="1"/>
  <c r="M63" i="9"/>
  <c r="M61" i="9" s="1"/>
  <c r="J45" i="10"/>
  <c r="J85" i="10"/>
  <c r="K53" i="9"/>
  <c r="J59" i="9"/>
  <c r="J57" i="9" s="1"/>
  <c r="J63" i="9"/>
  <c r="J61" i="9" s="1"/>
  <c r="H136" i="7"/>
  <c r="J136" i="7" s="1"/>
  <c r="J135" i="7"/>
  <c r="J174" i="7"/>
  <c r="J160" i="7"/>
  <c r="O178" i="6"/>
  <c r="I13" i="8"/>
  <c r="G190" i="7" l="1"/>
  <c r="G199" i="7"/>
  <c r="I199" i="7" s="1"/>
  <c r="M23" i="9"/>
  <c r="M68" i="9" s="1"/>
  <c r="M65" i="9" s="1"/>
  <c r="N65" i="9" s="1"/>
  <c r="J43" i="9"/>
  <c r="M43" i="9" s="1"/>
  <c r="H196" i="7"/>
  <c r="J196" i="7" s="1"/>
  <c r="J32" i="9"/>
  <c r="M32" i="9" s="1"/>
  <c r="G201" i="7"/>
  <c r="I201" i="7" s="1"/>
  <c r="G193" i="7"/>
  <c r="I193" i="7" s="1"/>
  <c r="G207" i="7"/>
  <c r="I207" i="7" s="1"/>
  <c r="G196" i="7"/>
  <c r="I196" i="7" s="1"/>
  <c r="G205" i="7"/>
  <c r="I205" i="7" s="1"/>
  <c r="G194" i="7"/>
  <c r="I194" i="7" s="1"/>
  <c r="G191" i="7"/>
  <c r="I191" i="7" s="1"/>
  <c r="G200" i="7"/>
  <c r="I200" i="7" s="1"/>
  <c r="G204" i="7"/>
  <c r="I204" i="7" s="1"/>
  <c r="G197" i="7"/>
  <c r="I197" i="7" s="1"/>
  <c r="G206" i="7"/>
  <c r="I206" i="7" s="1"/>
  <c r="G195" i="7"/>
  <c r="I195" i="7" s="1"/>
  <c r="G203" i="7"/>
  <c r="I203" i="7" s="1"/>
  <c r="G192" i="7"/>
  <c r="I192" i="7" s="1"/>
  <c r="G202" i="7"/>
  <c r="I202" i="7" s="1"/>
  <c r="G198" i="7"/>
  <c r="I198" i="7" s="1"/>
  <c r="G189" i="7"/>
  <c r="I189" i="7" s="1"/>
  <c r="F197" i="7"/>
  <c r="H197" i="7" s="1"/>
  <c r="J197" i="7" s="1"/>
  <c r="F201" i="7"/>
  <c r="H201" i="7" s="1"/>
  <c r="J201" i="7" s="1"/>
  <c r="J68" i="9"/>
  <c r="J65" i="9" s="1"/>
  <c r="K65" i="9" s="1"/>
  <c r="H45" i="8"/>
  <c r="K61" i="9"/>
  <c r="K57" i="9"/>
  <c r="N57" i="9"/>
  <c r="N61" i="9"/>
  <c r="H206" i="7"/>
  <c r="J206" i="7" s="1"/>
  <c r="J73" i="9"/>
  <c r="J70" i="9" s="1"/>
  <c r="K70" i="9" s="1"/>
  <c r="J79" i="9"/>
  <c r="J84" i="9" s="1"/>
  <c r="J87" i="9" s="1"/>
  <c r="J75" i="9" s="1"/>
  <c r="K75" i="9" s="1"/>
  <c r="J105" i="10"/>
  <c r="K85" i="10"/>
  <c r="I190" i="7"/>
  <c r="J51" i="10"/>
  <c r="J49" i="10" s="1"/>
  <c r="K49" i="10" s="1"/>
  <c r="J55" i="10"/>
  <c r="J53" i="10" s="1"/>
  <c r="K53" i="10" s="1"/>
  <c r="J60" i="10"/>
  <c r="J57" i="10" s="1"/>
  <c r="K57" i="10" s="1"/>
  <c r="J79" i="10"/>
  <c r="J67" i="10" s="1"/>
  <c r="K67" i="10" s="1"/>
  <c r="G188" i="7"/>
  <c r="I188" i="7" s="1"/>
  <c r="M73" i="9"/>
  <c r="M70" i="9" s="1"/>
  <c r="N70" i="9" s="1"/>
  <c r="M79" i="9"/>
  <c r="M84" i="9" s="1"/>
  <c r="M87" i="9" s="1"/>
  <c r="M75" i="9" s="1"/>
  <c r="N75" i="9" s="1"/>
  <c r="H13" i="8"/>
  <c r="N93" i="9"/>
  <c r="M103" i="9"/>
  <c r="H269" i="7"/>
  <c r="K93" i="9"/>
  <c r="J103" i="9"/>
  <c r="K90" i="9" l="1"/>
  <c r="N90" i="9"/>
  <c r="J94" i="9"/>
  <c r="J99" i="9" s="1"/>
  <c r="J102" i="9" s="1"/>
  <c r="M13" i="11" s="1"/>
  <c r="J86" i="10"/>
  <c r="J91" i="10" s="1"/>
  <c r="K82" i="10"/>
  <c r="M94" i="9"/>
  <c r="M99" i="9" s="1"/>
  <c r="C5" i="11"/>
  <c r="J104" i="9" l="1"/>
  <c r="M12" i="11"/>
  <c r="J100" i="9"/>
  <c r="M102" i="9"/>
  <c r="M100" i="9"/>
  <c r="J104" i="10"/>
  <c r="J106" i="10" s="1"/>
  <c r="J92" i="10"/>
  <c r="C7" i="11"/>
  <c r="C99" i="11"/>
  <c r="C69" i="11"/>
  <c r="C101" i="11"/>
  <c r="M90" i="11" l="1"/>
  <c r="M88" i="11"/>
  <c r="M82" i="11"/>
  <c r="M80" i="11"/>
  <c r="M78" i="11"/>
  <c r="M77" i="11"/>
  <c r="M79" i="11"/>
  <c r="M76" i="11"/>
  <c r="I134" i="11"/>
  <c r="I137" i="11"/>
  <c r="I146" i="11"/>
  <c r="I140" i="11"/>
  <c r="I147" i="11"/>
  <c r="I148" i="11"/>
  <c r="I143" i="11"/>
  <c r="I138" i="11"/>
  <c r="I139" i="11"/>
  <c r="I135" i="11"/>
  <c r="I145" i="11"/>
  <c r="I142" i="11"/>
  <c r="I141" i="11"/>
  <c r="I136" i="11"/>
  <c r="I149" i="11"/>
  <c r="I144" i="11"/>
  <c r="M86" i="11"/>
  <c r="M91" i="11"/>
  <c r="M84" i="11"/>
  <c r="M87" i="11"/>
  <c r="M89" i="11"/>
  <c r="M83" i="11"/>
  <c r="M85" i="11"/>
  <c r="M75" i="11"/>
  <c r="M81" i="11"/>
  <c r="M60" i="11"/>
  <c r="M59" i="11"/>
  <c r="M33" i="11"/>
  <c r="M19" i="11"/>
  <c r="M50" i="11"/>
  <c r="M56" i="11"/>
  <c r="M44" i="11"/>
  <c r="M18" i="11"/>
  <c r="M55" i="11"/>
  <c r="M49" i="11"/>
  <c r="M26" i="11"/>
  <c r="M37" i="11"/>
  <c r="M31" i="11"/>
  <c r="M48" i="11"/>
  <c r="M30" i="11"/>
  <c r="M104" i="9"/>
  <c r="M111" i="11" s="1"/>
  <c r="N111" i="11" s="1"/>
  <c r="M61" i="11"/>
  <c r="M40" i="11"/>
  <c r="M58" i="11"/>
  <c r="M35" i="11"/>
  <c r="M28" i="11"/>
  <c r="M62" i="11"/>
  <c r="M21" i="11"/>
  <c r="M51" i="11"/>
  <c r="M36" i="11"/>
  <c r="M52" i="11"/>
  <c r="M46" i="11"/>
  <c r="M24" i="11"/>
  <c r="M38" i="11"/>
  <c r="M39" i="11"/>
  <c r="M29" i="11"/>
  <c r="M34" i="11"/>
  <c r="M57" i="11"/>
  <c r="M27" i="11"/>
  <c r="M32" i="11"/>
  <c r="M47" i="11"/>
  <c r="M43" i="11"/>
  <c r="M42" i="11"/>
  <c r="M53" i="11"/>
  <c r="M25" i="11"/>
  <c r="M45" i="11"/>
  <c r="M54" i="11"/>
  <c r="M41" i="11"/>
  <c r="C103" i="11"/>
  <c r="M117" i="11" l="1"/>
  <c r="N117" i="11" s="1"/>
  <c r="M124" i="11"/>
  <c r="N124" i="11" s="1"/>
  <c r="M126" i="11"/>
  <c r="N126" i="11" s="1"/>
  <c r="M127" i="11"/>
  <c r="N127" i="11" s="1"/>
  <c r="M120" i="11"/>
  <c r="N120" i="11" s="1"/>
  <c r="M118" i="11"/>
  <c r="N118" i="11" s="1"/>
  <c r="M113" i="11"/>
  <c r="N113" i="11" s="1"/>
  <c r="M121" i="11"/>
  <c r="N121" i="11" s="1"/>
  <c r="M109" i="11"/>
  <c r="N109" i="11" s="1"/>
  <c r="M110" i="11"/>
  <c r="N110" i="11" s="1"/>
  <c r="M112" i="11"/>
  <c r="N112" i="11" s="1"/>
  <c r="M122" i="11"/>
  <c r="N122" i="11" s="1"/>
  <c r="M114" i="11"/>
  <c r="N114" i="11" s="1"/>
  <c r="M116" i="11"/>
  <c r="N116" i="11" s="1"/>
  <c r="M119" i="11"/>
  <c r="N119" i="11" s="1"/>
  <c r="M115" i="11"/>
  <c r="N115" i="11" s="1"/>
  <c r="M123" i="11"/>
  <c r="N123" i="11" s="1"/>
  <c r="M125" i="11"/>
  <c r="N125" i="11" s="1"/>
  <c r="N130" i="11" l="1"/>
  <c r="E221" i="7" l="1"/>
  <c r="F221" i="7" s="1"/>
  <c r="G221" i="7" s="1"/>
  <c r="E211" i="7"/>
  <c r="F211" i="7" s="1"/>
  <c r="G211" i="7" s="1"/>
  <c r="E222" i="7"/>
  <c r="F222" i="7" s="1"/>
  <c r="G222" i="7" s="1"/>
  <c r="I424" i="7" l="1"/>
  <c r="J424" i="7" s="1"/>
  <c r="I422" i="7"/>
  <c r="J422" i="7" s="1"/>
  <c r="I423" i="7"/>
  <c r="J423" i="7" s="1"/>
  <c r="E213" i="7"/>
  <c r="F213" i="7" s="1"/>
  <c r="G213" i="7" s="1"/>
  <c r="E216" i="7"/>
  <c r="F216" i="7" s="1"/>
  <c r="G216" i="7" s="1"/>
  <c r="E212" i="7"/>
  <c r="F212" i="7" s="1"/>
  <c r="G212" i="7" s="1"/>
  <c r="E214" i="7"/>
  <c r="F214" i="7" s="1"/>
  <c r="G214" i="7" s="1"/>
  <c r="E215" i="7"/>
  <c r="F215" i="7" s="1"/>
  <c r="G215" i="7" s="1"/>
  <c r="I417" i="7" l="1"/>
  <c r="J417" i="7" s="1"/>
  <c r="E220" i="7" l="1"/>
  <c r="F220" i="7" s="1"/>
  <c r="G220" i="7" l="1"/>
  <c r="I421" i="7" s="1"/>
  <c r="J421" i="7" s="1"/>
  <c r="E219" i="7" l="1"/>
  <c r="F219" i="7" s="1"/>
  <c r="G219" i="7" s="1"/>
  <c r="I420" i="7" s="1"/>
  <c r="J420" i="7" s="1"/>
  <c r="E218" i="7"/>
  <c r="F218" i="7" s="1"/>
  <c r="G218" i="7" s="1"/>
  <c r="I419" i="7" s="1"/>
  <c r="J419" i="7" s="1"/>
  <c r="E217" i="7"/>
  <c r="F217" i="7" s="1"/>
  <c r="G217" i="7" s="1"/>
  <c r="I418" i="7" l="1"/>
  <c r="J418" i="7" s="1"/>
  <c r="E249" i="7"/>
  <c r="E250" i="7"/>
  <c r="G250" i="7" s="1"/>
  <c r="E251" i="7"/>
  <c r="G270" i="7" l="1"/>
  <c r="I270" i="7" s="1"/>
  <c r="G251" i="7"/>
  <c r="G249" i="7"/>
  <c r="G269" i="7"/>
  <c r="I269" i="7" s="1"/>
  <c r="M417" i="7"/>
  <c r="M424" i="7" s="1"/>
  <c r="M418" i="7"/>
  <c r="M425" i="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Cesar Martinez Anell</author>
  </authors>
  <commentList>
    <comment ref="D16" authorId="0" shapeId="0" xr:uid="{9244489E-3B9A-4596-B24C-13006125B233}">
      <text>
        <r>
          <rPr>
            <b/>
            <sz val="9"/>
            <color indexed="81"/>
            <rFont val="Tahoma"/>
            <family val="2"/>
          </rPr>
          <t xml:space="preserve">Los paquetes que tienen NETFLIX fueron agrupados por Telmex, de manera que bajo esta modalidad consideran alrededor de 9.9 millones de suscriptores vs los casi 12.2 millones que reportó con la indicación de cada paquete con Netflix. </t>
        </r>
      </text>
    </comment>
    <comment ref="D275" authorId="0" shapeId="0" xr:uid="{5AD4AD93-CCBB-427F-8A99-AAA5CC7F93A9}">
      <text>
        <r>
          <rPr>
            <b/>
            <sz val="9"/>
            <color indexed="81"/>
            <rFont val="Tahoma"/>
            <family val="2"/>
          </rPr>
          <t xml:space="preserve">Los paquetes que tienen NETFLIX fueron agrupados por Telmex, de manera que bajo esta modalidad consideran alrededor de 9.9 millones de suscriptores vs los casi 12.2 millones que reportó con la indicación de cada paquete con Netflix.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Subdireccion de Modelos de Costos</author>
  </authors>
  <commentList>
    <comment ref="I36" authorId="0" shapeId="0" xr:uid="{365F06B7-45C2-4632-A957-B07727A460E5}">
      <text>
        <r>
          <rPr>
            <b/>
            <sz val="9"/>
            <color rgb="FF000000"/>
            <rFont val="Tahoma"/>
            <family val="2"/>
          </rPr>
          <t>Subdireccion de Modelos de Costos:</t>
        </r>
        <r>
          <rPr>
            <sz val="9"/>
            <color rgb="FF000000"/>
            <rFont val="Tahoma"/>
            <family val="2"/>
          </rPr>
          <t xml:space="preserve">
</t>
        </r>
        <r>
          <rPr>
            <sz val="9"/>
            <color rgb="FF000000"/>
            <rFont val="Tahoma"/>
            <family val="2"/>
          </rPr>
          <t xml:space="preserve">
</t>
        </r>
        <r>
          <rPr>
            <sz val="9"/>
            <color rgb="FF000000"/>
            <rFont val="Tahoma"/>
            <family val="2"/>
          </rPr>
          <t xml:space="preserve">Incluye 3 servicios digitales sin costo, por un periodo de 3 meses
</t>
        </r>
        <r>
          <rPr>
            <sz val="9"/>
            <color rgb="FF000000"/>
            <rFont val="Tahoma"/>
            <family val="2"/>
          </rPr>
          <t xml:space="preserve">
</t>
        </r>
        <r>
          <rPr>
            <sz val="9"/>
            <color rgb="FF000000"/>
            <rFont val="Tahoma"/>
            <family val="2"/>
          </rPr>
          <t>https://telmex.com/web/hogar/contratacion-telefonia</t>
        </r>
      </text>
    </comment>
    <comment ref="J38" authorId="0" shapeId="0" xr:uid="{63D002B0-98BD-467B-9ECE-532CC45EA87A}">
      <text>
        <r>
          <rPr>
            <b/>
            <sz val="9"/>
            <color rgb="FF000000"/>
            <rFont val="Tahoma"/>
            <family val="2"/>
          </rPr>
          <t>Subdireccion de Modelos de Costos:</t>
        </r>
        <r>
          <rPr>
            <sz val="9"/>
            <color rgb="FF000000"/>
            <rFont val="Tahoma"/>
            <family val="2"/>
          </rPr>
          <t xml:space="preserve">
</t>
        </r>
        <r>
          <rPr>
            <sz val="9"/>
            <color rgb="FF000000"/>
            <rFont val="Tahoma"/>
            <family val="2"/>
          </rPr>
          <t>No incluye servicios digitales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Cesar Martinez Anell</author>
  </authors>
  <commentList>
    <comment ref="J48" authorId="0" shapeId="0" xr:uid="{3D788F9B-FD3C-40F0-895C-1007CAF953A6}">
      <text>
        <r>
          <rPr>
            <sz val="9"/>
            <color indexed="81"/>
            <rFont val="Tahoma"/>
            <family val="2"/>
          </rPr>
          <t>Separación contable, 2023. Instalación de línea o acometida.</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M7" authorId="0" shapeId="0" xr:uid="{1F2CB1EB-65FC-4284-9322-5FF20FDD9453}">
      <text>
        <r>
          <rPr>
            <b/>
            <sz val="9"/>
            <color indexed="81"/>
            <rFont val="Tahoma"/>
            <family val="2"/>
          </rPr>
          <t>Se pueden insertar hasta 8 variantes de OTT</t>
        </r>
        <r>
          <rPr>
            <sz val="9"/>
            <color indexed="81"/>
            <rFont val="Tahoma"/>
            <family val="2"/>
          </rPr>
          <t xml:space="preserve">
</t>
        </r>
      </text>
    </comment>
    <comment ref="M101" authorId="0" shapeId="0" xr:uid="{3F611B80-F843-41B5-B134-123DE50215DE}">
      <text>
        <r>
          <rPr>
            <b/>
            <sz val="9"/>
            <color indexed="81"/>
            <rFont val="Tahoma"/>
            <family val="2"/>
          </rPr>
          <t>Se pueden insertar hasta 8 variantes de OTT</t>
        </r>
        <r>
          <rPr>
            <sz val="9"/>
            <color indexed="81"/>
            <rFont val="Tahoma"/>
            <family val="2"/>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Marco Angel Ortega Garcia</author>
    <author>Cesar Martinez Anell</author>
  </authors>
  <commentList>
    <comment ref="D408" authorId="0" shapeId="0" xr:uid="{84CE5C0F-BDF4-42B9-BB29-2D8016C7E71F}">
      <text>
        <r>
          <rPr>
            <sz val="9"/>
            <color indexed="81"/>
            <rFont val="Tahoma"/>
            <family val="2"/>
          </rPr>
          <t>Insertado manualmente con base en los Folios de Inscripción IFT: 994732 y 994734</t>
        </r>
      </text>
    </comment>
    <comment ref="D409" authorId="1" shapeId="0" xr:uid="{C1B20A56-905A-4837-A014-E5697E57AE21}">
      <text>
        <r>
          <rPr>
            <sz val="9"/>
            <color indexed="81"/>
            <rFont val="Tahoma"/>
            <family val="2"/>
          </rPr>
          <t>Insertado manualmente con base en el Folio de Inscripción IFT 826616</t>
        </r>
        <r>
          <rPr>
            <b/>
            <sz val="9"/>
            <color indexed="81"/>
            <rFont val="Tahoma"/>
            <family val="2"/>
          </rPr>
          <t>.</t>
        </r>
      </text>
    </comment>
    <comment ref="D410" authorId="1" shapeId="0" xr:uid="{F88A0C1E-5DE7-49BD-A3FB-209C8B43301F}">
      <text>
        <r>
          <rPr>
            <sz val="9"/>
            <color indexed="81"/>
            <rFont val="Tahoma"/>
            <family val="2"/>
          </rPr>
          <t>Insertado manualmente con base en el Folio de Inscripción IFT 825443</t>
        </r>
        <r>
          <rPr>
            <b/>
            <sz val="9"/>
            <color indexed="81"/>
            <rFont val="Tahoma"/>
            <family val="2"/>
          </rPr>
          <t>.</t>
        </r>
      </text>
    </comment>
    <comment ref="D411" authorId="1" shapeId="0" xr:uid="{F7BC07EF-594F-47E9-BA20-03090AAA6898}">
      <text>
        <r>
          <rPr>
            <sz val="9"/>
            <color indexed="81"/>
            <rFont val="Tahoma"/>
            <family val="2"/>
          </rPr>
          <t>Insertado manualmente con base en el Folio de Inscripción IFT 825449.</t>
        </r>
      </text>
    </comment>
  </commentList>
</comments>
</file>

<file path=xl/sharedStrings.xml><?xml version="1.0" encoding="utf-8"?>
<sst xmlns="http://schemas.openxmlformats.org/spreadsheetml/2006/main" count="8470" uniqueCount="1079">
  <si>
    <t>Contents</t>
  </si>
  <si>
    <t>Information</t>
  </si>
  <si>
    <t xml:space="preserve">Title </t>
  </si>
  <si>
    <t>Workbook Title</t>
  </si>
  <si>
    <t>Objective</t>
  </si>
  <si>
    <t>Workbook Objective</t>
  </si>
  <si>
    <t>Version</t>
  </si>
  <si>
    <t>Workbook Version</t>
  </si>
  <si>
    <t>Status</t>
  </si>
  <si>
    <t>Under construction</t>
  </si>
  <si>
    <t>Work in progress</t>
  </si>
  <si>
    <t>Ready for review</t>
  </si>
  <si>
    <t>Approved for release</t>
  </si>
  <si>
    <t>Author</t>
  </si>
  <si>
    <t>Workbook Author</t>
  </si>
  <si>
    <t>Email</t>
  </si>
  <si>
    <t>Workbook Author's Email Address</t>
  </si>
  <si>
    <t>Sheet</t>
  </si>
  <si>
    <t>Description</t>
  </si>
  <si>
    <t>Notes</t>
  </si>
  <si>
    <t>C</t>
  </si>
  <si>
    <t>This contents sheet</t>
  </si>
  <si>
    <t>V</t>
  </si>
  <si>
    <t>A history of the versions of this workbook</t>
  </si>
  <si>
    <t xml:space="preserve">S </t>
  </si>
  <si>
    <t>A guide to the styles used in this workbook</t>
  </si>
  <si>
    <t>Enter description of worksheet here</t>
  </si>
  <si>
    <t>Insert extra rows above here</t>
  </si>
  <si>
    <t>Version history</t>
  </si>
  <si>
    <t>History</t>
  </si>
  <si>
    <t>Date released</t>
  </si>
  <si>
    <t>Details</t>
  </si>
  <si>
    <t>Style guidelines</t>
  </si>
  <si>
    <t>NB Use Window Unfreeze Panes (on each worksheet) to have row 1 scroll with the rest of the worksheet</t>
  </si>
  <si>
    <r>
      <t xml:space="preserve">NB Consider using Insert &gt; Header &amp; Footer &gt; Sheet &gt; </t>
    </r>
    <r>
      <rPr>
        <u/>
        <sz val="8"/>
        <rFont val="Arial"/>
        <family val="2"/>
      </rPr>
      <t>R</t>
    </r>
    <r>
      <rPr>
        <sz val="8"/>
        <rFont val="Arial"/>
        <family val="2"/>
      </rPr>
      <t>ows to repeat at top: $1:$1 to include row 1 at the top of all printed pages</t>
    </r>
  </si>
  <si>
    <t>Input cell styles</t>
  </si>
  <si>
    <t>Use these styles to identify inputs to a model</t>
  </si>
  <si>
    <t>NB These styles change most aspects of a cell's formatting (all except Number and Alignment)</t>
  </si>
  <si>
    <t>Input Parameter</t>
  </si>
  <si>
    <t>unlocked</t>
  </si>
  <si>
    <t>An input to the model that it is expected the user will change (change at will)</t>
  </si>
  <si>
    <r>
      <t xml:space="preserve">Consider using </t>
    </r>
    <r>
      <rPr>
        <u/>
        <sz val="9"/>
        <rFont val="Arial"/>
        <family val="2"/>
      </rPr>
      <t>D</t>
    </r>
    <r>
      <rPr>
        <sz val="9"/>
        <rFont val="Arial"/>
        <family val="2"/>
      </rPr>
      <t xml:space="preserve">ata </t>
    </r>
    <r>
      <rPr>
        <sz val="9"/>
        <rFont val="Arial"/>
        <family val="2"/>
      </rPr>
      <t>V</t>
    </r>
    <r>
      <rPr>
        <sz val="9"/>
        <rFont val="Arial"/>
        <family val="2"/>
      </rPr>
      <t>a</t>
    </r>
    <r>
      <rPr>
        <u/>
        <sz val="9"/>
        <rFont val="Arial"/>
        <family val="2"/>
      </rPr>
      <t>l</t>
    </r>
    <r>
      <rPr>
        <sz val="9"/>
        <rFont val="Arial"/>
        <family val="2"/>
      </rPr>
      <t>idation to ensure that only acceptable values are entered</t>
    </r>
  </si>
  <si>
    <t>Minimum</t>
  </si>
  <si>
    <t>Maximum</t>
  </si>
  <si>
    <r>
      <t xml:space="preserve">If a parameter can take only one of a small number of values, consider using </t>
    </r>
    <r>
      <rPr>
        <u/>
        <sz val="9"/>
        <rFont val="Arial"/>
        <family val="2"/>
      </rPr>
      <t>D</t>
    </r>
    <r>
      <rPr>
        <sz val="9"/>
        <rFont val="Arial"/>
        <family val="2"/>
      </rPr>
      <t>ata Va</t>
    </r>
    <r>
      <rPr>
        <u/>
        <sz val="9"/>
        <rFont val="Arial"/>
        <family val="2"/>
      </rPr>
      <t>l</t>
    </r>
    <r>
      <rPr>
        <sz val="9"/>
        <rFont val="Arial"/>
        <family val="2"/>
      </rPr>
      <t xml:space="preserve">idation </t>
    </r>
    <r>
      <rPr>
        <u/>
        <sz val="9"/>
        <rFont val="Arial"/>
        <family val="2"/>
      </rPr>
      <t>A</t>
    </r>
    <r>
      <rPr>
        <sz val="9"/>
        <rFont val="Arial"/>
        <family val="2"/>
      </rPr>
      <t xml:space="preserve">llow </t>
    </r>
    <r>
      <rPr>
        <u/>
        <sz val="9"/>
        <rFont val="Arial"/>
        <family val="2"/>
      </rPr>
      <t>L</t>
    </r>
    <r>
      <rPr>
        <sz val="9"/>
        <rFont val="Arial"/>
        <family val="2"/>
      </rPr>
      <t xml:space="preserve">ist with </t>
    </r>
    <r>
      <rPr>
        <u/>
        <sz val="9"/>
        <rFont val="Arial"/>
        <family val="2"/>
      </rPr>
      <t>I</t>
    </r>
    <r>
      <rPr>
        <sz val="9"/>
        <rFont val="Arial"/>
        <family val="2"/>
      </rPr>
      <t>n-cell dropdown selected</t>
    </r>
  </si>
  <si>
    <t>Acceptable values</t>
  </si>
  <si>
    <t>Input Data</t>
  </si>
  <si>
    <t>A piece of real data (only change if you have better data)</t>
  </si>
  <si>
    <t>Input Estimate</t>
  </si>
  <si>
    <t>An estimate used in the absence of real data (only change if you have a better estimate, or real data )</t>
  </si>
  <si>
    <t>Input Calculation</t>
  </si>
  <si>
    <t>locked</t>
  </si>
  <si>
    <t>An input to the model that has been calculated from other inputs (e.g. interpolated input values)</t>
  </si>
  <si>
    <t>Input Link</t>
  </si>
  <si>
    <t>An input to this part of the model, which is linked to a source on this worksheet within this workbook</t>
  </si>
  <si>
    <t>Input Link (different Worksheet)</t>
  </si>
  <si>
    <t>An input to this part of the model, which is linked to a source on another worksheet within this workbook</t>
  </si>
  <si>
    <t>Input Link (different Workbook)</t>
  </si>
  <si>
    <t>An input to this part of the model, which is linked to a source on a worksheet in a different workbook</t>
  </si>
  <si>
    <t>Other cell styles</t>
  </si>
  <si>
    <t>Use these styles to identify the role of other cells in a model</t>
  </si>
  <si>
    <t>NB These styles change a variety of different aspects of a cell's formatting (as appropriate to the context)</t>
  </si>
  <si>
    <t>Calculation</t>
  </si>
  <si>
    <t>A calculation of the model</t>
  </si>
  <si>
    <t>Total</t>
  </si>
  <si>
    <t>A total (use if not part of a "Sub-total row" or a "Total row" in a table - see below)</t>
  </si>
  <si>
    <t>Checksum</t>
  </si>
  <si>
    <t>A side calculation intended solely to cross check a result (and which therefore should not be referenced anywhere else in the model)</t>
  </si>
  <si>
    <t>Consider using Conditional Formatting (on Home tab) to highlight unacceptable results of cross-check calculations (e.g. non-zero)</t>
  </si>
  <si>
    <t>Output</t>
  </si>
  <si>
    <t>A key result from this part of the model (in particular one that will be used elsewhere in the model)</t>
  </si>
  <si>
    <t>Name</t>
  </si>
  <si>
    <r>
      <t xml:space="preserve">An Excel Name applying to one or more adjacent cells – use Create from Selection (on Formulas tab) </t>
    </r>
    <r>
      <rPr>
        <sz val="9"/>
        <rFont val="Arial"/>
        <family val="2"/>
      </rPr>
      <t>to actually create the Excel Names</t>
    </r>
  </si>
  <si>
    <t>Note</t>
  </si>
  <si>
    <t>A note (NB smaller than standard font size)</t>
  </si>
  <si>
    <t>Highlight</t>
  </si>
  <si>
    <t>A cell that is special in some way</t>
  </si>
  <si>
    <t>Unhighlight</t>
  </si>
  <si>
    <t>And one that isn't anymore</t>
  </si>
  <si>
    <t>Number styles</t>
  </si>
  <si>
    <t>Use these styles to consistently format numbers (and dates)</t>
  </si>
  <si>
    <t>NB All number styles use the decimal symbol and digit grouping symbol (thousands separator) defined under Regional Options in Control Panel. So if you want to change them do it there, and not here in Excel !</t>
  </si>
  <si>
    <t>NB Most number styles leave space for a ')' to the right of the number, but only the Currency styles actually use '(…)' for negatives</t>
  </si>
  <si>
    <t>Number</t>
  </si>
  <si>
    <t>Number
(2dp)</t>
  </si>
  <si>
    <t>Percentage</t>
  </si>
  <si>
    <t>Percentage (2dp)</t>
  </si>
  <si>
    <t>Currency</t>
  </si>
  <si>
    <t>Currency
(2dp)</t>
  </si>
  <si>
    <t>Comma</t>
  </si>
  <si>
    <t>Percent</t>
  </si>
  <si>
    <t>Positive</t>
  </si>
  <si>
    <t>Negative</t>
  </si>
  <si>
    <t>Zero</t>
  </si>
  <si>
    <t>Text</t>
  </si>
  <si>
    <t>Currency
EUR</t>
  </si>
  <si>
    <t>Currency
EUR (2dp)</t>
  </si>
  <si>
    <t>Currency
Euro</t>
  </si>
  <si>
    <t>Currency
Euro (2dp)</t>
  </si>
  <si>
    <t>Currency
USD</t>
  </si>
  <si>
    <t>Currency
USD (2dp)</t>
  </si>
  <si>
    <t>Currency Dollar</t>
  </si>
  <si>
    <t>Currency Dollar (2dp)</t>
  </si>
  <si>
    <t>Currency
GBP</t>
  </si>
  <si>
    <t>Currency
GBP (2dp)</t>
  </si>
  <si>
    <t>Currency Pound</t>
  </si>
  <si>
    <t>Currency Pound (2dp)</t>
  </si>
  <si>
    <t>Date</t>
  </si>
  <si>
    <t>Date
(Month)</t>
  </si>
  <si>
    <t>Date
(Year)</t>
  </si>
  <si>
    <t>Heading styles</t>
  </si>
  <si>
    <t>Use these styles to format headings</t>
  </si>
  <si>
    <t>NB These styles change only the font used in a cell</t>
  </si>
  <si>
    <t>H0</t>
  </si>
  <si>
    <t>Sheet title</t>
  </si>
  <si>
    <t>Heading level 0</t>
  </si>
  <si>
    <t>H1</t>
  </si>
  <si>
    <t>Title</t>
  </si>
  <si>
    <t>Heading level 1</t>
  </si>
  <si>
    <t>H2</t>
  </si>
  <si>
    <t>Heading level 2</t>
  </si>
  <si>
    <t>H3</t>
  </si>
  <si>
    <t>Heading level 3</t>
  </si>
  <si>
    <t>H4</t>
  </si>
  <si>
    <t>Heading level 4</t>
  </si>
  <si>
    <t>Table styles</t>
  </si>
  <si>
    <t>Use these styles to consistently format tables</t>
  </si>
  <si>
    <t>NB These styles change a variety of different aspects of cell formatting (as appropriate to the context)</t>
  </si>
  <si>
    <t>A simple table</t>
  </si>
  <si>
    <t>Column label (left aligned)</t>
  </si>
  <si>
    <t>Column label</t>
  </si>
  <si>
    <t>Row label</t>
  </si>
  <si>
    <t>(Table finish row)</t>
  </si>
  <si>
    <t>A more complex table</t>
  </si>
  <si>
    <t>Column label (no wrap)</t>
  </si>
  <si>
    <t>Column label (not bold)</t>
  </si>
  <si>
    <t>(Table unshading)</t>
  </si>
  <si>
    <t>(Table shading)</t>
  </si>
  <si>
    <t>Row label (indent)</t>
  </si>
  <si>
    <t>Sub-total row</t>
  </si>
  <si>
    <t>Total row</t>
  </si>
  <si>
    <t>Examples of use</t>
  </si>
  <si>
    <t>NB To avoid having spurious names in this template the names shown below have not actually been created</t>
  </si>
  <si>
    <t>Number of subscribers (year end)</t>
  </si>
  <si>
    <t>Service</t>
  </si>
  <si>
    <t>Units</t>
  </si>
  <si>
    <t>Subscribers.Year End.By Service</t>
  </si>
  <si>
    <t>Dial-up</t>
  </si>
  <si>
    <t>Subscribers</t>
  </si>
  <si>
    <t>Linear interpolation</t>
  </si>
  <si>
    <t>ADSL</t>
  </si>
  <si>
    <t>Cable Modem</t>
  </si>
  <si>
    <t>From above</t>
  </si>
  <si>
    <t>From Cable_modem.xls</t>
  </si>
  <si>
    <t>Number of subscribers (simple year average)</t>
  </si>
  <si>
    <t>Subscribers.Year Average.Total</t>
  </si>
  <si>
    <t>Listas</t>
  </si>
  <si>
    <t>Años</t>
  </si>
  <si>
    <t>#</t>
  </si>
  <si>
    <t>Nombres de planes y paquetes principales</t>
  </si>
  <si>
    <t>Nombres de planes y paquetes que ofrecen banda ancha</t>
  </si>
  <si>
    <t>Nombres de planes y paquetes que ofrecen telefonía fija</t>
  </si>
  <si>
    <t>Nombres de planes y paquetes que ofrecen banda ancha single play</t>
  </si>
  <si>
    <t>Nombres de planes y paquetes que ofrecen telefonía fija single play</t>
  </si>
  <si>
    <t>Factor conversion (1 Mbps a Kbps)</t>
  </si>
  <si>
    <t>Renta Mensual de la Línea Residencial</t>
  </si>
  <si>
    <t>Paquete 249</t>
  </si>
  <si>
    <t>Infinitum 279</t>
  </si>
  <si>
    <t>Renta Mensual de la Línea Comercial</t>
  </si>
  <si>
    <t>Paquete 289</t>
  </si>
  <si>
    <t>Infinitum 299 R</t>
  </si>
  <si>
    <t>factor.Mbps.to.Kbps</t>
  </si>
  <si>
    <t>Listado banda ancha</t>
  </si>
  <si>
    <t>Paquete 333</t>
  </si>
  <si>
    <t>Infinitum 349</t>
  </si>
  <si>
    <t>Banda ancha</t>
  </si>
  <si>
    <t>Paquete 389</t>
  </si>
  <si>
    <t>Infinitum 399</t>
  </si>
  <si>
    <t>Banda ancha menor</t>
  </si>
  <si>
    <t>Paquete 435</t>
  </si>
  <si>
    <t>Infinitum 449</t>
  </si>
  <si>
    <t>Paquete 499</t>
  </si>
  <si>
    <t>Infinitum 549</t>
  </si>
  <si>
    <t>Paquete 599</t>
  </si>
  <si>
    <t>Infinitum 899</t>
  </si>
  <si>
    <t>Years</t>
  </si>
  <si>
    <t>Paquete 649</t>
  </si>
  <si>
    <t>Infinitum 299 N</t>
  </si>
  <si>
    <t>Paquete Infinitum 999</t>
  </si>
  <si>
    <t>Infinitum Negocio 349</t>
  </si>
  <si>
    <t>Paquete 1399</t>
  </si>
  <si>
    <t>Infinitum Negocio 399</t>
  </si>
  <si>
    <t>Infinitum Negocio 449</t>
  </si>
  <si>
    <t>Infinitum Negocio 549</t>
  </si>
  <si>
    <t>Paquete Conectes Negocio</t>
  </si>
  <si>
    <t>Infinitum Negocio 899</t>
  </si>
  <si>
    <t>Paquete Mi Negocio</t>
  </si>
  <si>
    <t>Infinitum Negocio</t>
  </si>
  <si>
    <t>Paquete Negocio 649</t>
  </si>
  <si>
    <t>Infinitum Negocio Red</t>
  </si>
  <si>
    <t>Paquete Supernegocio</t>
  </si>
  <si>
    <t>Infinitum Negocio Premium</t>
  </si>
  <si>
    <t>Paquete Negocio 999</t>
  </si>
  <si>
    <t>Paquete Telmex Negocio Ilimitado 1</t>
  </si>
  <si>
    <t>Paquete Telmex Negocio Ilimitado 2</t>
  </si>
  <si>
    <t>Paquete Telmex Negocio Ilimitado 3</t>
  </si>
  <si>
    <t>vector.plans.names</t>
  </si>
  <si>
    <t>vector.broadband.plans.names</t>
  </si>
  <si>
    <t>vector.telephony.plans.names</t>
  </si>
  <si>
    <t>vector.broadband.plans.singleplay.names</t>
  </si>
  <si>
    <t>vector.telephony.plans.singleplay.names</t>
  </si>
  <si>
    <t>Control</t>
  </si>
  <si>
    <t>Concepto</t>
  </si>
  <si>
    <t>Unidad</t>
  </si>
  <si>
    <t>Nombre</t>
  </si>
  <si>
    <t>Notas</t>
  </si>
  <si>
    <t>Año de referencia</t>
  </si>
  <si>
    <t>Año de referencia para el que se realizan las estimaciones</t>
  </si>
  <si>
    <t>año</t>
  </si>
  <si>
    <t>Year.selected</t>
  </si>
  <si>
    <t>Parámetros asociados a costos de los servicios</t>
  </si>
  <si>
    <t>Relacionados a la captación de usuarios</t>
  </si>
  <si>
    <t>Índice de rotación (Churn)</t>
  </si>
  <si>
    <t>%</t>
  </si>
  <si>
    <t>Line.rental.churn</t>
  </si>
  <si>
    <t>Costos de facturación (incluyendo el sistema de facturación a clientes minoristas)</t>
  </si>
  <si>
    <t>Costos de facturación (incluyendo el sistema de facturación a clientes minoristas) sobre el total de ingresos</t>
  </si>
  <si>
    <t>Billing.cost</t>
  </si>
  <si>
    <t>Asociados a deuda incobrable</t>
  </si>
  <si>
    <t>Deuda incobrable sobre el total de ingresos</t>
  </si>
  <si>
    <t>Bad.debt.cost</t>
  </si>
  <si>
    <t>Marketing y publicidad</t>
  </si>
  <si>
    <t>Costos de ventas y marketing por suscriptor bruto adicional</t>
  </si>
  <si>
    <t>para servicios de voz</t>
  </si>
  <si>
    <t>MXN / Suscriptor bruto adicional</t>
  </si>
  <si>
    <t>Marketing.and.sales.per.gross.add.line.rental</t>
  </si>
  <si>
    <t>Se asume cero, bajo la premisa de los operadores se publicitan para captar suscriptores de banda ancha, no suscriptores sólo de voz fija</t>
  </si>
  <si>
    <t xml:space="preserve">para servicios de banda ancha </t>
  </si>
  <si>
    <t>Marketing.and.sales.per.gross.add.broadband</t>
  </si>
  <si>
    <t xml:space="preserve">Gasto mínimo en marketing en ventas sobre el total de ingresos </t>
  </si>
  <si>
    <t>Marketing.and.sales.minimum.proportion.line.rental</t>
  </si>
  <si>
    <t>Marketing.and.sales.minimum.proportion.broadband</t>
  </si>
  <si>
    <t>Atención al cliente minorista (incluyendo asistencia técnica de primera línea)</t>
  </si>
  <si>
    <t>Número promedio de suscriptores atendidos por empleado:</t>
  </si>
  <si>
    <t># Suscriptor / empleado</t>
  </si>
  <si>
    <t>Customer.care.broadbandsubscriber.per.staff</t>
  </si>
  <si>
    <t>El índice menor de fallas por línea sólo de voz que para líneas de banda ancha (hay menos equipos que pueden fallar) y es menos probable que las fallas sean percibidas por los usuarios (la duración diaria de uso de una línea para llamadas de voz es mucho menor que para banda ancha)</t>
  </si>
  <si>
    <t>Customer.care.line.rental.per.staff</t>
  </si>
  <si>
    <t>Incrementos de revisiones salariales Sindicato de Telefonistas de la República Mexicana</t>
  </si>
  <si>
    <t>Costo mensual por empleado dedicado a la atención del cliente minorista</t>
  </si>
  <si>
    <t>MXN / empleado</t>
  </si>
  <si>
    <t>Monthly.cost.per.staff</t>
  </si>
  <si>
    <r>
      <rPr>
        <b/>
        <sz val="9"/>
        <rFont val="Arial"/>
        <family val="2"/>
      </rPr>
      <t>Fuente:</t>
    </r>
    <r>
      <rPr>
        <sz val="9"/>
        <rFont val="Arial"/>
        <family val="2"/>
      </rPr>
      <t xml:space="preserve"> Telmex</t>
    </r>
  </si>
  <si>
    <r>
      <rPr>
        <b/>
        <sz val="9"/>
        <rFont val="Arial"/>
        <family val="2"/>
      </rPr>
      <t xml:space="preserve">Fuente: </t>
    </r>
    <r>
      <rPr>
        <sz val="9"/>
        <rFont val="Arial"/>
        <family val="2"/>
      </rPr>
      <t>Telmex: 4.5% incremento salarial y 1.5% prestaciones</t>
    </r>
  </si>
  <si>
    <r>
      <rPr>
        <b/>
        <sz val="9"/>
        <rFont val="Arial"/>
        <family val="2"/>
      </rPr>
      <t xml:space="preserve">Fuente: </t>
    </r>
    <r>
      <rPr>
        <sz val="9"/>
        <rFont val="Arial"/>
        <family val="2"/>
      </rPr>
      <t>Telmex 4% incremento salarial y 1.12% prestaciones</t>
    </r>
  </si>
  <si>
    <r>
      <rPr>
        <b/>
        <sz val="9"/>
        <rFont val="Arial"/>
        <family val="2"/>
      </rPr>
      <t xml:space="preserve">Fuente: </t>
    </r>
    <r>
      <rPr>
        <sz val="9"/>
        <rFont val="Arial"/>
        <family val="2"/>
      </rPr>
      <t>Telmex incremento salarial de 3.5% y 1% prestaciones</t>
    </r>
  </si>
  <si>
    <r>
      <rPr>
        <b/>
        <sz val="9"/>
        <rFont val="Arial"/>
        <family val="2"/>
      </rPr>
      <t>Fuente:</t>
    </r>
    <r>
      <rPr>
        <sz val="9"/>
        <rFont val="Arial"/>
        <family val="2"/>
      </rPr>
      <t xml:space="preserve"> Telmex incremento salarial de 3.4% y 0.8% prestaciones</t>
    </r>
  </si>
  <si>
    <r>
      <rPr>
        <b/>
        <sz val="9"/>
        <rFont val="Arial"/>
        <family val="2"/>
      </rPr>
      <t>Fuente:</t>
    </r>
    <r>
      <rPr>
        <sz val="9"/>
        <rFont val="Arial"/>
        <family val="2"/>
      </rPr>
      <t xml:space="preserve"> Telmex incremento salarial https://www.gob.mx/stps/prensa/con-el-dialogo-impulsado-por-la-stps-sindicato-de-telefonistas-y-telmex-logran-acuerdo?idiom=es#:%7E:text=Las%20partes%20acordaron%20la%20revisi%C3%B3n,50.50%20pesos%20diarios%2C%20m%C3%A1s%201.1026%25</t>
    </r>
  </si>
  <si>
    <r>
      <rPr>
        <b/>
        <sz val="9"/>
        <rFont val="Arial"/>
        <family val="2"/>
      </rPr>
      <t xml:space="preserve">Fuente: </t>
    </r>
    <r>
      <rPr>
        <sz val="9"/>
        <rFont val="Arial"/>
        <family val="2"/>
      </rPr>
      <t>Telmex ncremento salarial https://www.gob.mx/stps/prensa/con-la-mediacion-de-la-stps-y-el-cfcrl-telmex-y-el-sindicato-de-telefonistas-alcanzan-acuerdo?idiom=es</t>
    </r>
  </si>
  <si>
    <t>Costos generales y administrativos</t>
  </si>
  <si>
    <t>Superficie de suelo usada por empleado</t>
  </si>
  <si>
    <r>
      <t>m</t>
    </r>
    <r>
      <rPr>
        <vertAlign val="superscript"/>
        <sz val="9"/>
        <rFont val="Arial"/>
        <family val="2"/>
      </rPr>
      <t>2</t>
    </r>
    <r>
      <rPr>
        <sz val="9"/>
        <rFont val="Arial"/>
        <family val="2"/>
      </rPr>
      <t xml:space="preserve"> / empleado</t>
    </r>
  </si>
  <si>
    <t>Floorspace.per.staff</t>
  </si>
  <si>
    <t>Costos de alquiler de oficinas (por metro cuadrado al mes)</t>
  </si>
  <si>
    <r>
      <t>MXN / Mes / m</t>
    </r>
    <r>
      <rPr>
        <vertAlign val="superscript"/>
        <sz val="9"/>
        <rFont val="Arial"/>
        <family val="2"/>
      </rPr>
      <t>2</t>
    </r>
  </si>
  <si>
    <t>Rent.per.sqm</t>
  </si>
  <si>
    <t xml:space="preserve">Personal administrativo (incluyendo personal de marketing y ventas) por empleado de atención al cliente </t>
  </si>
  <si>
    <t>Admin.staff.per.customer.care.staff</t>
  </si>
  <si>
    <t>Costos administrativos sobre el total de ingresos (incluye personal de soporte IT, recursos humanos, estrategia, finanzas, etc.)</t>
  </si>
  <si>
    <t>Admin.costs</t>
  </si>
  <si>
    <t xml:space="preserve">Margen de beneficios sobre costos evitados
</t>
  </si>
  <si>
    <t>Retail.profit</t>
  </si>
  <si>
    <t>Otros parámetros relevantes</t>
  </si>
  <si>
    <t>Periodo de retención de cliente</t>
  </si>
  <si>
    <t>años</t>
  </si>
  <si>
    <t>years.client.retention</t>
  </si>
  <si>
    <r>
      <rPr>
        <b/>
        <sz val="9"/>
        <rFont val="Arial"/>
        <family val="2"/>
      </rPr>
      <t>Fuente:</t>
    </r>
    <r>
      <rPr>
        <sz val="9"/>
        <rFont val="Arial"/>
        <family val="2"/>
      </rPr>
      <t xml:space="preserve"> Telmex/Telnor</t>
    </r>
  </si>
  <si>
    <t>Representación del valor promedio del medio de transmisión en el componente de voz sobre cobre y en fibra óptica</t>
  </si>
  <si>
    <t>Bucle local de cobre</t>
  </si>
  <si>
    <t>MXN / Mes</t>
  </si>
  <si>
    <t>local.loop.cooper</t>
  </si>
  <si>
    <r>
      <rPr>
        <b/>
        <sz val="9"/>
        <rFont val="Arial"/>
        <family val="2"/>
      </rPr>
      <t>Fuente:</t>
    </r>
    <r>
      <rPr>
        <sz val="9"/>
        <rFont val="Arial"/>
        <family val="2"/>
      </rPr>
      <t xml:space="preserve"> Estimaciones a partir de Modelo Integral de Red de Acceso Fijo (LLU Full sin costos de caseta y alojamiento</t>
    </r>
  </si>
  <si>
    <t>Bucle local de fibra óptica</t>
  </si>
  <si>
    <t>local.loop.optical.fiber</t>
  </si>
  <si>
    <r>
      <rPr>
        <b/>
        <sz val="9"/>
        <rFont val="Arial"/>
        <family val="2"/>
      </rPr>
      <t>Fuente:</t>
    </r>
    <r>
      <rPr>
        <sz val="9"/>
        <rFont val="Arial"/>
        <family val="2"/>
      </rPr>
      <t xml:space="preserve"> Estimaciones a partir de Modelo Integral de Red de Acceso Fijo</t>
    </r>
  </si>
  <si>
    <t>Claro video</t>
  </si>
  <si>
    <t>Renta mensual, sin impuestos</t>
  </si>
  <si>
    <t>clarovideo.rental.without.taxes</t>
  </si>
  <si>
    <r>
      <rPr>
        <b/>
        <sz val="9"/>
        <rFont val="Arial"/>
        <family val="2"/>
      </rPr>
      <t xml:space="preserve">Fuente: </t>
    </r>
    <r>
      <rPr>
        <sz val="9"/>
        <rFont val="Arial"/>
        <family val="2"/>
      </rPr>
      <t>Estimación IFT, a partir de precios en página de Claro video</t>
    </r>
  </si>
  <si>
    <t>https://www.clarovideo.com/fe/sitesplus/sk_telmex/html/esp/faqs.html</t>
  </si>
  <si>
    <t>Parámetro de reposición de equipos terminales</t>
  </si>
  <si>
    <t>equipo.terminal.parameter</t>
  </si>
  <si>
    <t>Fin</t>
  </si>
  <si>
    <t>Mercado</t>
  </si>
  <si>
    <t>Banda ancha fija</t>
  </si>
  <si>
    <t>Datos de mercado de banda ancha fija</t>
  </si>
  <si>
    <t>Suscripciones de banda ancha fija</t>
  </si>
  <si>
    <t>Suscripciones de banda ancha fija, residenciales y no residenciales del mercado</t>
  </si>
  <si>
    <t># suscripciones</t>
  </si>
  <si>
    <t>Broadbad.suscriptions.market</t>
  </si>
  <si>
    <r>
      <rPr>
        <b/>
        <sz val="9"/>
        <rFont val="Arial"/>
        <family val="2"/>
      </rPr>
      <t xml:space="preserve">Fuente: </t>
    </r>
    <r>
      <rPr>
        <sz val="9"/>
        <rFont val="Arial"/>
        <family val="2"/>
      </rPr>
      <t>Banco de Información de Telecomunicaciones, IFT (https://bit.ift.org.mx/BitWebApp/)</t>
    </r>
  </si>
  <si>
    <t>Suscripciones de banda ancha fija, residenciales y no residenciales del AEP</t>
  </si>
  <si>
    <t>Broadbad.suscriptions.AEP</t>
  </si>
  <si>
    <t>Cuota de Mercado del AEP</t>
  </si>
  <si>
    <t>% de suscripciones residenciales y no residenciales del AEP</t>
  </si>
  <si>
    <t>% respecto a total de suscripciones del mercado</t>
  </si>
  <si>
    <t>Broadbad.suscriptions.market.share.AEP</t>
  </si>
  <si>
    <t>Distribución de suscriptores del AEP</t>
  </si>
  <si>
    <t>Distribución porcentual de suscriptores del AEP por plan/paquete a través se ofrecen servicios de banda ancha fija</t>
  </si>
  <si>
    <t>Nombre de plan/paquete</t>
  </si>
  <si>
    <t>Modalidad</t>
  </si>
  <si>
    <t>Tipo de Servicio</t>
  </si>
  <si>
    <r>
      <t xml:space="preserve">Fuente: </t>
    </r>
    <r>
      <rPr>
        <sz val="9"/>
        <rFont val="Arial"/>
        <family val="2"/>
      </rPr>
      <t>Estimaciones IFT, a partir de datos AEP</t>
    </r>
  </si>
  <si>
    <t>AEP.broadband.distribution.by.plan</t>
  </si>
  <si>
    <t>Distribución suscriptores del AEP por plan/paquete a través se ofrecen servicios de banda ancha fija</t>
  </si>
  <si>
    <t>AEP.broadband.subs.by.plan</t>
  </si>
  <si>
    <t>Resumen de suscripciones de banda ancha fija del AEP</t>
  </si>
  <si>
    <t>Suscripciones de banda ancha fija del AEP</t>
  </si>
  <si>
    <t>Residenciales</t>
  </si>
  <si>
    <t>AEP.broadband.subs.residential</t>
  </si>
  <si>
    <t>Residenciales en modalidad, que se proveen con servicios de voz (i.e. excluyendo banda ancha en modalidad single play)</t>
  </si>
  <si>
    <t>AEP.broadband.subs.residential.with.line.rental</t>
  </si>
  <si>
    <t>Residenciales y no residenciales en modalidad single play (i.e. sin servicios de voz)</t>
  </si>
  <si>
    <t>AEP.broadband.subs.residential.without.line.rental</t>
  </si>
  <si>
    <t xml:space="preserve">No residenciales </t>
  </si>
  <si>
    <t>AEP.broadband.subs.non.residential</t>
  </si>
  <si>
    <t>Telefonía fija</t>
  </si>
  <si>
    <t>Datos de mercado de telefonía fija</t>
  </si>
  <si>
    <t>Líneas de telefonía fija</t>
  </si>
  <si>
    <t>Líneas de telefonía fija, residenciales y no residenciales del mercado</t>
  </si>
  <si>
    <t># líneas</t>
  </si>
  <si>
    <r>
      <rPr>
        <b/>
        <sz val="9"/>
        <rFont val="Arial"/>
        <family val="2"/>
      </rPr>
      <t xml:space="preserve">Fuente: </t>
    </r>
    <r>
      <rPr>
        <sz val="9"/>
        <rFont val="Arial"/>
        <family val="2"/>
      </rPr>
      <t>Banco de Información de Telecomunicaciones, IFT</t>
    </r>
  </si>
  <si>
    <t>Datos del AEP</t>
  </si>
  <si>
    <t>Líneas residenciales y no residenciales del AEP</t>
  </si>
  <si>
    <t>AEP.telephone.lines</t>
  </si>
  <si>
    <t>% de Líneas residenciales y no residenciales del AEP</t>
  </si>
  <si>
    <t>% respecto a total de líneas del mercado</t>
  </si>
  <si>
    <t>Estimación de líneas del AEP en la cuales se brindan servicios de telefonía fija en modalidad single play</t>
  </si>
  <si>
    <t>Otros datos de mercado de telefonía fija y banda ancha</t>
  </si>
  <si>
    <t>Suscripciones de banda ancha (residenciales y no residenciales) en modalidad single play (i.e. sin servicios de voz)</t>
  </si>
  <si>
    <t>Proporción de suscripciones de banda ancha del AEP en modalidad single play (i.e. sin servicios de voz), respecto al total</t>
  </si>
  <si>
    <t>Estimación líneas del AEP en la cuales se brindan servicios de telefonía fija en modalidad single play</t>
  </si>
  <si>
    <t>Líneas del AEP en la cuales se brindan servicios de telefonía fija en modalidad single play</t>
  </si>
  <si>
    <t>AEP.telephone.lines.voice.only</t>
  </si>
  <si>
    <t>Líneas residenciales del AEP en la cuales se brindan servicios de telefonía fija en modalidad single play</t>
  </si>
  <si>
    <t>AEP.telephone.lines.voice.only.residential</t>
  </si>
  <si>
    <t>Líneas no residenciales del AEP en la cuales se brindan servicios de telefonía fija en modalidad single play</t>
  </si>
  <si>
    <t>AEP.telephone.lines.voice.only.noresidential</t>
  </si>
  <si>
    <t>Distribución de líneas del AEP</t>
  </si>
  <si>
    <t>Distribución porcentual de líneas del AEP por plan/paquete a través se ofrecen servicios de telefonía fija en modalidad single play</t>
  </si>
  <si>
    <t>Residencial</t>
  </si>
  <si>
    <t>No Residencial</t>
  </si>
  <si>
    <t>Distribución de líneas del AEP por plan/paquete a través se ofrecen servicios de telefonía fija en modalidad single play</t>
  </si>
  <si>
    <r>
      <t xml:space="preserve">Fuente: </t>
    </r>
    <r>
      <rPr>
        <sz val="9"/>
        <rFont val="Arial"/>
        <family val="2"/>
      </rPr>
      <t>Estimaciones IFT.</t>
    </r>
  </si>
  <si>
    <t>Distribución porcentual de líneas del AEP por plan/paquete a través se ofrecen servicios de telefonía fija</t>
  </si>
  <si>
    <t>AEP.telephony.distribution.by.plan</t>
  </si>
  <si>
    <t>Distribución de líneas del AEP por plan/paquete a través se ofrecen servicios de telefonía fija</t>
  </si>
  <si>
    <t>AEP.telephony.subs.by.plan</t>
  </si>
  <si>
    <t>*</t>
  </si>
  <si>
    <t>Cálculos auxiliares</t>
  </si>
  <si>
    <t>Información asociada a servicios digitales</t>
  </si>
  <si>
    <t>Valor</t>
  </si>
  <si>
    <t># Servicios digitales</t>
  </si>
  <si>
    <t>Estimación 
MXN / Mes / Servicio digital</t>
  </si>
  <si>
    <t>Fuente</t>
  </si>
  <si>
    <t>Tarifa por Activación por SD o en Paquete</t>
  </si>
  <si>
    <t>MXN / Servicio</t>
  </si>
  <si>
    <t>https://downloads.telmex.com/pdf/ServiciosMercadoMasivo.pdf</t>
  </si>
  <si>
    <t>En la contratación adicional de un SD o Paquete, ya no aplica este cargo.</t>
  </si>
  <si>
    <t>Renta Mensual por Servicio Digital</t>
  </si>
  <si>
    <t>MXN / Mes / Servicio</t>
  </si>
  <si>
    <t>unit.cost.digital.service.1</t>
  </si>
  <si>
    <r>
      <t xml:space="preserve">• Paquete de SD incluyen como base: Identificador de llamadas + los otros SD, según paquete contratado.
• *Por promoción 3 meses de renta gratis, al momento de contratar una línea nueva. El 4º mes, inicia el cobro de esta.
</t>
    </r>
    <r>
      <rPr>
        <sz val="9"/>
        <rFont val="Calibri"/>
        <family val="2"/>
      </rPr>
      <t>•</t>
    </r>
    <r>
      <rPr>
        <sz val="7.65"/>
        <rFont val="Arial"/>
        <family val="2"/>
      </rPr>
      <t xml:space="preserve"> Identificador de llamadas requiere aparato telefónico c/Caller ID.</t>
    </r>
    <r>
      <rPr>
        <sz val="9"/>
        <rFont val="Arial"/>
        <family val="2"/>
      </rPr>
      <t xml:space="preserve">
3) Identificador de llamadas requiere aparato. telefónico c/ Caller ID.</t>
    </r>
  </si>
  <si>
    <t>Renta Mensual por 3 Servicios Digitales</t>
  </si>
  <si>
    <t>unit.cost.digital.service.3</t>
  </si>
  <si>
    <t>Renta Mensual por 4 Servicios Digitales</t>
  </si>
  <si>
    <t>unit.cost.digital.service.4</t>
  </si>
  <si>
    <t>Renta Mensual por 5 Servicios Digitales</t>
  </si>
  <si>
    <t>unit.cost.digital.service.5</t>
  </si>
  <si>
    <t>Nombre de plan o paquete</t>
  </si>
  <si>
    <t>Renta mensual (sin impuestos)</t>
  </si>
  <si>
    <t>Llamadas locales incluidas</t>
  </si>
  <si>
    <t xml:space="preserve">Plan Local Sin Límites </t>
  </si>
  <si>
    <t>Representación del costo mensual promedio ponderado del bucle, por plan/paquete con banda ancha fija y por perfil de velocidad</t>
  </si>
  <si>
    <t>Distriibución porcentual de los suscriptores por medio de transmissión</t>
  </si>
  <si>
    <t>Velocidad de bajada ofertada (Mbps)</t>
  </si>
  <si>
    <t>Cobre</t>
  </si>
  <si>
    <t>Fibra óptica</t>
  </si>
  <si>
    <t>weighted.average.local.loop.by.plan</t>
  </si>
  <si>
    <t>Distriibución de los suscriptores por medio de transmissión</t>
  </si>
  <si>
    <t>h</t>
  </si>
  <si>
    <t>Velocidad de subida ofertada (Mbps)</t>
  </si>
  <si>
    <t xml:space="preserve">Cobre + FTTC. Fibra hasta un punto intermedio entre el edificio del AEP y el usuario y despues cobre hasta el usuario. </t>
  </si>
  <si>
    <t>Estimación de la distribución del precio promedio ponderado del bucle por perfil, de acuerdo al medio de transmisión por el que se proveen servicios</t>
  </si>
  <si>
    <t>Valor promedio ponderado del bucle local</t>
  </si>
  <si>
    <t>Mbps</t>
  </si>
  <si>
    <t>Velocidad de bajada ofertada</t>
  </si>
  <si>
    <t>weighted.average.local.loop.by.plan.by.tx.media</t>
  </si>
  <si>
    <t>Representación del precio implícito por perfil del Mbps</t>
  </si>
  <si>
    <t>Matriz función indicadora de si el plan/paquete cuenta con determinado perfil en Mbps</t>
  </si>
  <si>
    <t>Precio implícito estimado para perfil de Mbps incluidos en renta mensual</t>
  </si>
  <si>
    <t>Precio implícito estimado ajustado para perfil de Mbps incluidos en renta mensual</t>
  </si>
  <si>
    <t>1=Si, 0=No</t>
  </si>
  <si>
    <t>Estimación del precio promedio por Mbps por perfil</t>
  </si>
  <si>
    <t>Modelo anterior 2019</t>
  </si>
  <si>
    <t>Modelo 2020</t>
  </si>
  <si>
    <t>Modelo 2021</t>
  </si>
  <si>
    <t>Modelo 2022</t>
  </si>
  <si>
    <t>Modelo 2023</t>
  </si>
  <si>
    <t>Perfil de velocidad de bajada (Mbps)</t>
  </si>
  <si>
    <t>Precio implícito promedio (simple)</t>
  </si>
  <si>
    <t>Precio implícito promedio ponderado</t>
  </si>
  <si>
    <t>A partir de promedio simple</t>
  </si>
  <si>
    <t>A partir de promedio ponderado</t>
  </si>
  <si>
    <t xml:space="preserve">Datos para la estimación* </t>
  </si>
  <si>
    <t>Estimado</t>
  </si>
  <si>
    <t>Interpolación del precio por Mbps para estimar el precio por perfil</t>
  </si>
  <si>
    <t>Interpolado con función potencial</t>
  </si>
  <si>
    <t>Estimación IFT</t>
  </si>
  <si>
    <t xml:space="preserve">Precio de la banda ancha por perfil </t>
  </si>
  <si>
    <t>MXN/ Mbps</t>
  </si>
  <si>
    <t>Extrapolación de precio implícito por perfil</t>
  </si>
  <si>
    <t>Precio implícito por perfil promedio ponderado</t>
  </si>
  <si>
    <t>Modelo anterior 2017</t>
  </si>
  <si>
    <t>Modelo anterior 2018</t>
  </si>
  <si>
    <t>Modelo anterior 2020</t>
  </si>
  <si>
    <t>Modelo anterior 2021</t>
  </si>
  <si>
    <t>Modelo anterior 2022</t>
  </si>
  <si>
    <t>Modelo anterior 2023</t>
  </si>
  <si>
    <t>Modelo anterior 2024</t>
  </si>
  <si>
    <t>Modems y ONT</t>
  </si>
  <si>
    <t>Tecnología</t>
  </si>
  <si>
    <t>Undiad</t>
  </si>
  <si>
    <t>MXN</t>
  </si>
  <si>
    <t>Unidad Terminal de Datos https://downloads.telmex.com/pdf/ServiciosMercadoMasivo.pdf</t>
  </si>
  <si>
    <t>VDSL</t>
  </si>
  <si>
    <t>ONT</t>
  </si>
  <si>
    <t>Costos nuevos equipos terminales</t>
  </si>
  <si>
    <t>Costos reposicióm equipos terminales</t>
  </si>
  <si>
    <t>Costos total equipos terminales</t>
  </si>
  <si>
    <t>FTTC</t>
  </si>
  <si>
    <t>FTTH</t>
  </si>
  <si>
    <t>Precio implícito promedio ponderado por tecnología</t>
  </si>
  <si>
    <t>Estimación de costos evitados equipos terminales</t>
  </si>
  <si>
    <t>Costos evitados equipos terminales</t>
  </si>
  <si>
    <t>Acometidas</t>
  </si>
  <si>
    <t>Modelos servicios auxiliares</t>
  </si>
  <si>
    <t>Fibra</t>
  </si>
  <si>
    <t>Costo total acometidas</t>
  </si>
  <si>
    <t>Precio de referencia</t>
  </si>
  <si>
    <t>Estimación de costos evitados acometida</t>
  </si>
  <si>
    <t>Representación acometida</t>
  </si>
  <si>
    <t>Represntación acometida  SRL</t>
  </si>
  <si>
    <t>Costo evitado asociado a acometida</t>
  </si>
  <si>
    <t>Costos acometidas de cobre</t>
  </si>
  <si>
    <t>Costos acometidas de fibra óptica</t>
  </si>
  <si>
    <t>Nombre de Plan/Paquete</t>
  </si>
  <si>
    <t>Modalidad*</t>
  </si>
  <si>
    <t>Tipo de Servicio*</t>
  </si>
  <si>
    <t>Precio</t>
  </si>
  <si>
    <t>Nota</t>
  </si>
  <si>
    <t>Fibra Óptica</t>
  </si>
  <si>
    <t>Estimación del factor de simetría</t>
  </si>
  <si>
    <t>Calificación real del bucle de cobre</t>
  </si>
  <si>
    <t>Muestra representativa</t>
  </si>
  <si>
    <t xml:space="preserve">Velocidad Contratada </t>
  </si>
  <si>
    <t>Promedio de Calificación del bucle 
2019</t>
  </si>
  <si>
    <t>Cuenta de Usuarios 
2019</t>
  </si>
  <si>
    <r>
      <rPr>
        <b/>
        <sz val="9"/>
        <rFont val="Arial"/>
        <family val="2"/>
      </rPr>
      <t>Fuente:</t>
    </r>
    <r>
      <rPr>
        <sz val="9"/>
        <rFont val="Arial"/>
        <family val="2"/>
      </rPr>
      <t xml:space="preserve"> IFT/221/UPR/DG-CIN/123/2019</t>
    </r>
  </si>
  <si>
    <t>Acceso</t>
  </si>
  <si>
    <t>Tipo de servicio</t>
  </si>
  <si>
    <t>Velocidad nominal de bajada (Mbps)</t>
  </si>
  <si>
    <t>Velocidad nominal de subida (Kbps)</t>
  </si>
  <si>
    <t xml:space="preserve">Calidad </t>
  </si>
  <si>
    <t>Velocidad nominal de bajada real (calificación real del bucle)</t>
  </si>
  <si>
    <t>Velocidad nominal de bajada</t>
  </si>
  <si>
    <t>Proporcion Subida vs Bajada</t>
  </si>
  <si>
    <t>Factor de simetría</t>
  </si>
  <si>
    <t>Unidad - &gt;</t>
  </si>
  <si>
    <t>Kbps</t>
  </si>
  <si>
    <t>Cobre, FTTN, FTTC</t>
  </si>
  <si>
    <t>Asimétrico</t>
  </si>
  <si>
    <t>Datos, Doble calidad, Doble calidad con portabilidad</t>
  </si>
  <si>
    <t>BE, Doble, Datos Generales, Triple</t>
  </si>
  <si>
    <t>Se estima la proporción del ancho de banda de subida necesario para hacer simétrico al perfil</t>
  </si>
  <si>
    <t>Fibra FTTH</t>
  </si>
  <si>
    <t>Simétrico</t>
  </si>
  <si>
    <r>
      <t xml:space="preserve">Se estima el promedio simple por perfil asimétrico </t>
    </r>
    <r>
      <rPr>
        <sz val="9"/>
        <rFont val="Arial"/>
        <family val="2"/>
      </rPr>
      <t>de cobre</t>
    </r>
  </si>
  <si>
    <t>Adicionado para la estimación de perfiles simétricos</t>
  </si>
  <si>
    <t>Representación del precio implícitos de los perfiles simétricos</t>
  </si>
  <si>
    <t>Tarifas de los planes simétricos</t>
  </si>
  <si>
    <t xml:space="preserve">Velocidad </t>
  </si>
  <si>
    <t>Tarifa sin impuestos</t>
  </si>
  <si>
    <t>Comentarios</t>
  </si>
  <si>
    <t>Velocidad Simétrica Conectes Negocio</t>
  </si>
  <si>
    <t>La tarifa con impuestos se adiciona al del "Paquete Conectes Negocio"</t>
  </si>
  <si>
    <t>Velocidad Simétrica Mi Negocio</t>
  </si>
  <si>
    <t>La tarifa con impuestos se adiciona al del "Paquete Mi Negocio"</t>
  </si>
  <si>
    <t>Velocidad Simétrica Supernegocio</t>
  </si>
  <si>
    <t>La tarifa con impuestos se adiciona al del paquete "Paquete SuperNegocio"</t>
  </si>
  <si>
    <t>Velocidad Simétrica Telmex Negocio Ilimitado 1</t>
  </si>
  <si>
    <t>La tarifa con impuestos se adiciona al del paquete "Paquete Telmex Negocio 1"</t>
  </si>
  <si>
    <t>Velocidad Simétrica Telmex Negocio Ilimitado 2</t>
  </si>
  <si>
    <t>La tarifa con impuestos se adiciona al del paquete "Paquete Telmex Negocio 2"</t>
  </si>
  <si>
    <t>Velocidad Simétrica Telmex Negocio limitado 3</t>
  </si>
  <si>
    <t>La tarifa con impuestos se adiciona al del paquete "Paquete Telmex Negocio 3"</t>
  </si>
  <si>
    <t>Tarifas de los planes a los cuales se adicionan los planes simétricos</t>
  </si>
  <si>
    <t>Velocidad de subida</t>
  </si>
  <si>
    <t>Velocidad de bajada</t>
  </si>
  <si>
    <t xml:space="preserve">Precio Implícito de la Banda Ancha post descuento </t>
  </si>
  <si>
    <t>Paquete SuperNegocio</t>
  </si>
  <si>
    <t>Representación Tarifas de servicios simétricos adicionales a planes y paquetes</t>
  </si>
  <si>
    <t>Tarifa 
Perfil simétrico / Perfil asímetrico</t>
  </si>
  <si>
    <t>Precio implícito por perfil del Mbps</t>
  </si>
  <si>
    <t>Precio implícito por perfil del Mbps Simétrico</t>
  </si>
  <si>
    <t>Parámetros regresion lineal</t>
  </si>
  <si>
    <t>Para clientes que cuenten con Paquete Conectes Negocio</t>
  </si>
  <si>
    <t>b</t>
  </si>
  <si>
    <t>Para clientes que cuenten con Paquete Mi Negocio</t>
  </si>
  <si>
    <t>a</t>
  </si>
  <si>
    <t>Velocidad Simétrica SuperNegocio</t>
  </si>
  <si>
    <t>Para clientes que cuenten con Paquete SuperNegocio</t>
  </si>
  <si>
    <t>Velocidad Simétrica Telmex Negocio Sin Límetes 1</t>
  </si>
  <si>
    <t>Para clientes que cuenten con PaqueteTelmex Negocio Sin Límites 1</t>
  </si>
  <si>
    <t>Velocidad Simétrica Telmex Negocio Sin Límetes 2</t>
  </si>
  <si>
    <t>Para clientes que cuenten con PaqueteTelmex Negocio Sin Límites 2</t>
  </si>
  <si>
    <t>Parámetros regresion transformados (regresión Log - Log)</t>
  </si>
  <si>
    <t>Velocidad Simétrica Telmex Negocio Sin Límetes 3</t>
  </si>
  <si>
    <t>Para clientes que cuenten con PaqueteTelmex Negocio Sin Límites 3</t>
  </si>
  <si>
    <t>a (exp c )</t>
  </si>
  <si>
    <t>Cálculos principales</t>
  </si>
  <si>
    <t>Check</t>
  </si>
  <si>
    <t>Información general de planes y paquetes</t>
  </si>
  <si>
    <t>Telefonía Fija, Internet Fijo, Telefonía Fija+ Internet Fijo</t>
  </si>
  <si>
    <r>
      <rPr>
        <b/>
        <sz val="9"/>
        <rFont val="Arial"/>
        <family val="2"/>
      </rPr>
      <t>Fuente:</t>
    </r>
    <r>
      <rPr>
        <sz val="9"/>
        <rFont val="Arial"/>
        <family val="2"/>
      </rPr>
      <t xml:space="preserve"> AEP</t>
    </r>
  </si>
  <si>
    <t>Modalidad del servicio</t>
  </si>
  <si>
    <t>Residencial/No Residencial</t>
  </si>
  <si>
    <t>Suscripciones de banda ancha fija por plan/paquete en el año de referencia</t>
  </si>
  <si>
    <t># Suscripciones</t>
  </si>
  <si>
    <t>vector.users.broadband</t>
  </si>
  <si>
    <t>Verifica consistencia con la cantidad de suscripciones de banda ancha fija del operador</t>
  </si>
  <si>
    <t>Porcentaje respecto al total</t>
  </si>
  <si>
    <t>vector.distribution.users.broadband</t>
  </si>
  <si>
    <t>Líneas de telefonía fija por plan/paquete en el año de referencia</t>
  </si>
  <si>
    <t># Líneas telefónicas</t>
  </si>
  <si>
    <t>vector.users.telephone</t>
  </si>
  <si>
    <t>vector.users.distribution.telephone</t>
  </si>
  <si>
    <t>Periodicidad asumida para estimación de ingresos</t>
  </si>
  <si>
    <t>Periodicidad</t>
  </si>
  <si>
    <t>Meses</t>
  </si>
  <si>
    <t>vector.periodicity</t>
  </si>
  <si>
    <t>Otros vectores auxiliares</t>
  </si>
  <si>
    <t>Se encuentra vigente el plan/paquete?</t>
  </si>
  <si>
    <t>Binario (1=Si, 0=No)</t>
  </si>
  <si>
    <t>vector.plans.available</t>
  </si>
  <si>
    <r>
      <t xml:space="preserve">Se trata de un plan/paquete </t>
    </r>
    <r>
      <rPr>
        <b/>
        <sz val="9"/>
        <rFont val="Arial"/>
        <family val="2"/>
      </rPr>
      <t>residencial que incluye telefonía fija</t>
    </r>
    <r>
      <rPr>
        <sz val="9"/>
        <rFont val="Arial"/>
        <family val="2"/>
      </rPr>
      <t>?</t>
    </r>
  </si>
  <si>
    <t>vector.plans.with.line.rental.residential</t>
  </si>
  <si>
    <r>
      <t xml:space="preserve">Se trata de un plan/paquete </t>
    </r>
    <r>
      <rPr>
        <b/>
        <sz val="9"/>
        <rFont val="Arial"/>
        <family val="2"/>
      </rPr>
      <t>no residencial que incluye telefonía fija</t>
    </r>
    <r>
      <rPr>
        <sz val="9"/>
        <rFont val="Arial"/>
        <family val="2"/>
      </rPr>
      <t>?</t>
    </r>
  </si>
  <si>
    <t>vector.plans.with.line.rental.noresidential</t>
  </si>
  <si>
    <t>Estimación del precio implícito de los servicios asociados a voz que integran los plaques y paquetes</t>
  </si>
  <si>
    <t>Cantidad de líneas telefónicas incluidas en plan o paquete</t>
  </si>
  <si>
    <t># líneas incluidas</t>
  </si>
  <si>
    <t>vector.lines.publicited</t>
  </si>
  <si>
    <t>Renta de línea</t>
  </si>
  <si>
    <t>vector.implicit.prices.line.rental.before.discount</t>
  </si>
  <si>
    <t>Valor de la renta de línea (considerando todas las líneas telefónicas que incluye el plan/paquete)</t>
  </si>
  <si>
    <t>MXN/ Mes</t>
  </si>
  <si>
    <r>
      <rPr>
        <b/>
        <sz val="9"/>
        <rFont val="Arial"/>
        <family val="2"/>
      </rPr>
      <t>Fuente:</t>
    </r>
    <r>
      <rPr>
        <sz val="9"/>
        <rFont val="Arial"/>
        <family val="2"/>
      </rPr>
      <t xml:space="preserve"> Estimación IFT</t>
    </r>
  </si>
  <si>
    <t>Servicios de voz, no incluidos en la renta de la línea</t>
  </si>
  <si>
    <r>
      <t>Fuente:</t>
    </r>
    <r>
      <rPr>
        <sz val="9"/>
        <rFont val="Arial"/>
        <family val="2"/>
      </rPr>
      <t xml:space="preserve"> AEP</t>
    </r>
  </si>
  <si>
    <t>vector.implicit.prices.voice.before.discount</t>
  </si>
  <si>
    <t>Servicios digitales, que no se encuentran considerados en la renta de la línea</t>
  </si>
  <si>
    <t>vector.implicit.prices.digitalservices.before.discount</t>
  </si>
  <si>
    <t>Cantidad de servicios digitales incluidos en plan/paquete</t>
  </si>
  <si>
    <t>Valor de servicios digitales</t>
  </si>
  <si>
    <t>Valor de servicios digitales en la renta de todas las líneas del plan/paquete</t>
  </si>
  <si>
    <t>Precios implícitos estimados para los servicios asociados a voz</t>
  </si>
  <si>
    <t>Proporción de valor de los servicios digitales incluidos en la renta mensual de los servicios (voz y línea).</t>
  </si>
  <si>
    <t>Estimación del valor dentro del plan/paquetes de los conceptos que integran el servicio</t>
  </si>
  <si>
    <t xml:space="preserve">   Renta de línea</t>
  </si>
  <si>
    <t>MXN/Mes</t>
  </si>
  <si>
    <r>
      <rPr>
        <b/>
        <sz val="9"/>
        <rFont val="Arial"/>
        <family val="2"/>
      </rPr>
      <t xml:space="preserve">Fuente: </t>
    </r>
    <r>
      <rPr>
        <sz val="9"/>
        <rFont val="Arial"/>
        <family val="2"/>
      </rPr>
      <t>Estimación IFT</t>
    </r>
  </si>
  <si>
    <t>vector.implicit.prices.line.rental.after.discount</t>
  </si>
  <si>
    <t xml:space="preserve">   Servicios de voz</t>
  </si>
  <si>
    <t>vector.implicit.prices.voice.after.discount</t>
  </si>
  <si>
    <t xml:space="preserve">   Servicios Digitales</t>
  </si>
  <si>
    <t>vector.implicit.prices.digitalservices.after.discount</t>
  </si>
  <si>
    <t>Estimación del precio implícito de los servicios asociados a banda ancha que integran los plaques y paquetes</t>
  </si>
  <si>
    <r>
      <t xml:space="preserve">Fuente: </t>
    </r>
    <r>
      <rPr>
        <sz val="9"/>
        <rFont val="Arial"/>
        <family val="2"/>
      </rPr>
      <t>AEP</t>
    </r>
  </si>
  <si>
    <t>Precio implícito de los conceptos que integran el servicio</t>
  </si>
  <si>
    <t xml:space="preserve">   Banda ancha</t>
  </si>
  <si>
    <t>vector.implicit.prices.broadband.before.discount</t>
  </si>
  <si>
    <t xml:space="preserve">   Claro video</t>
  </si>
  <si>
    <t>Información sobre Claro video</t>
  </si>
  <si>
    <t>Se ofrece Claro video sin costo para a los usuarios finales durante un periodo de tiempo?</t>
  </si>
  <si>
    <t>Duración del periodo de tiempo (en meses) en que ofrece a los usuarios finales el servicio de Claro video sin costo</t>
  </si>
  <si>
    <t>Nivel de descuento sobre los precios implícitos de los conceptos que integran el servicio</t>
  </si>
  <si>
    <t>Estimación del precio dentro del plan/paquetes de los Conceptos que integran el servicio</t>
  </si>
  <si>
    <t xml:space="preserve">   Banda ancha dentro de plan/paquete</t>
  </si>
  <si>
    <t>vector.implicit.prices.broadband.after.discount</t>
  </si>
  <si>
    <t>lista despegable para seleccionar los vectores de precios.</t>
  </si>
  <si>
    <t xml:space="preserve">Banda ancha </t>
  </si>
  <si>
    <t xml:space="preserve">   Claro video dentro de plan/paquete</t>
  </si>
  <si>
    <t>Descuentos asociados a renta de línea y servicios de voz</t>
  </si>
  <si>
    <t>Renta de Línea</t>
  </si>
  <si>
    <t>Servicios de voz</t>
  </si>
  <si>
    <t>Estimaciones</t>
  </si>
  <si>
    <t>Número de líneas telefónicas del AEP</t>
  </si>
  <si>
    <t>Información de líneas residenciales y no residenciales</t>
  </si>
  <si>
    <t>Suscriptores adicionales netos</t>
  </si>
  <si>
    <t>Suscriptores adicionales brutos</t>
  </si>
  <si>
    <t>Información de líneas residenciales - que brindan servicios de voz en modalidad single play</t>
  </si>
  <si>
    <t>Información de líneas no residenciales - que brindan servicios de voz en modalidad single play</t>
  </si>
  <si>
    <t>Promedio anual de líneas que brindan servicios de voz en modalidad single play</t>
  </si>
  <si>
    <t>No residenciales</t>
  </si>
  <si>
    <t>Suscriptores adicionales brutos de banda ancha</t>
  </si>
  <si>
    <t>Número máximo de líneas adicionales brutas</t>
  </si>
  <si>
    <t>Estimación de ingresos anuales</t>
  </si>
  <si>
    <t>Ingresos por instalaciones de líneas</t>
  </si>
  <si>
    <t>MXN/año</t>
  </si>
  <si>
    <t>Ingresos por renta mensual - antes desde considerar precios implícitos</t>
  </si>
  <si>
    <t>Ingresos por renta mensual - considerando precios implícitos de los servicios</t>
  </si>
  <si>
    <t>Estimación de costos evitados</t>
  </si>
  <si>
    <t>Costos de facturación (incluyendo el sistema de facturación de clientes minoristas)</t>
  </si>
  <si>
    <t>Costos de facturación</t>
  </si>
  <si>
    <t>Deuda incobrable</t>
  </si>
  <si>
    <t xml:space="preserve">Costo de la deuda incobrable sobre el total de ingresos </t>
  </si>
  <si>
    <t xml:space="preserve">Costos de marketing y ventas por suscriptor bruto adicional </t>
  </si>
  <si>
    <t xml:space="preserve">Gasto mínimo en marketing y ventas sobre el total de ingresos </t>
  </si>
  <si>
    <t>Costos de marketing y publicidad</t>
  </si>
  <si>
    <t>Número de suscriptores por empleado</t>
  </si>
  <si>
    <t>Costo mensual por empleado</t>
  </si>
  <si>
    <t>Costos minoristas de atención al cliente</t>
  </si>
  <si>
    <t>Asignado proporcionalmente respecto al nivel de ingresos para renta de línea y servicios de voz</t>
  </si>
  <si>
    <t>Personal de atención al cliente minorista</t>
  </si>
  <si>
    <t># empleados</t>
  </si>
  <si>
    <t>Personal administrativo</t>
  </si>
  <si>
    <t>Total empleados</t>
  </si>
  <si>
    <t>Costos de alquiler de oficinas</t>
  </si>
  <si>
    <t>Superficie de suelo por empleado</t>
  </si>
  <si>
    <t>Costos por metro cuadrado</t>
  </si>
  <si>
    <t>MXN / Mes / m2</t>
  </si>
  <si>
    <t>Costos administrativos sobre el total de ingresos</t>
  </si>
  <si>
    <t>Beneficio minorista</t>
  </si>
  <si>
    <t>Diferencial de ingresos y total de costos evitados</t>
  </si>
  <si>
    <t>Diferencial de ingresos al considerar precios implícitos</t>
  </si>
  <si>
    <t xml:space="preserve">Total costos retail minus </t>
  </si>
  <si>
    <t>Resumen</t>
  </si>
  <si>
    <t>Total ingresos (antes de considerar precios implícitos)</t>
  </si>
  <si>
    <t>Total costos retail minus</t>
  </si>
  <si>
    <t>Otros costos (y ganancias)</t>
  </si>
  <si>
    <t>Nivel de descuento total</t>
  </si>
  <si>
    <t>Retail.minus.line.rental</t>
  </si>
  <si>
    <t>Retail.minus.additional.calls</t>
  </si>
  <si>
    <t>Factor de representación del precio implícito</t>
  </si>
  <si>
    <t>Costos evitados asociados</t>
  </si>
  <si>
    <t>Retail.minus.line.rental.retail.minus.items.only</t>
  </si>
  <si>
    <t>Retail.minus.additional.calls.retail.minus.items.only</t>
  </si>
  <si>
    <t>Descuentos asociados a banda ancha</t>
  </si>
  <si>
    <t>Número de suscripciones de banda ancha fija del AEP</t>
  </si>
  <si>
    <t>Información de banda ancha fija residencial y no residencial</t>
  </si>
  <si>
    <t>Información de suscripciones residenciales</t>
  </si>
  <si>
    <t>Broadband.gross.adds.residential.with.line.rental</t>
  </si>
  <si>
    <t>Información de suscripciones no residenciales</t>
  </si>
  <si>
    <t>Broadband.gross.adds.non.residential</t>
  </si>
  <si>
    <t>Promedio anual de suscripciones según modalidad</t>
  </si>
  <si>
    <t xml:space="preserve"> Los ingresos por renta de línea no se consideran para servicios de voz, y por tanto se excluyen de los de banda ancha fija. </t>
  </si>
  <si>
    <t>Ingresos por instalaciones y por renta mensual (considerando precios implícitos de los servicios)</t>
  </si>
  <si>
    <t>Costos equipos asociados a cobre (ADSL/VDSL)</t>
  </si>
  <si>
    <t>Costos equipos asociados a cobre (VDSL)</t>
  </si>
  <si>
    <t>Costos equipos asociados a fibra (FTTH)</t>
  </si>
  <si>
    <t>Retail.minus.int</t>
  </si>
  <si>
    <t>Retail.minus.int.retail.minus.items.only</t>
  </si>
  <si>
    <t>Tarifas SRLT, SRI y SRPI</t>
  </si>
  <si>
    <t>Estimación de tarifas del Servicio de Reventa de Línea Telefónica (SRLT)</t>
  </si>
  <si>
    <t>Planes y paquetes de telefonía fija en modalidad single play</t>
  </si>
  <si>
    <t>Precio mayorista, excluyendo impuestos</t>
  </si>
  <si>
    <t>Renta Mensual</t>
  </si>
  <si>
    <t>Otros planes y paquetes adicionales relativos a telefonía fija en modalidad single play</t>
  </si>
  <si>
    <t>Llamada de Servicio Medido, 030, 040, 07X</t>
  </si>
  <si>
    <t>Cobro por llamada</t>
  </si>
  <si>
    <t>Se toma la "Tarifa por llamada local excedente" del libro de tarifas de Telmex.</t>
  </si>
  <si>
    <t xml:space="preserve">El Que Llama Paga </t>
  </si>
  <si>
    <t>Llamada 020  -  090</t>
  </si>
  <si>
    <t>Conforme a registro</t>
  </si>
  <si>
    <t>De acuerdo con la OREDA 2016</t>
  </si>
  <si>
    <t>Llamada 031</t>
  </si>
  <si>
    <t>Se revisa el documento de Servicios de Mercado Masivo. Disponible en: https://downloads.telmex.com/pdf/ServiciosMercadoMasivo.pdf?_ga=2.182240679.1800780908.1543682738-468803987.1536425792</t>
  </si>
  <si>
    <t>Llamada a números de emergencia 060, 061, 065, 066, 068, 080, 088, 089</t>
  </si>
  <si>
    <t>De acuerdo a la OREDA 2016</t>
  </si>
  <si>
    <t>Llamada  800, 900</t>
  </si>
  <si>
    <t>Baja Temporal de la Línea Telefónica comercial</t>
  </si>
  <si>
    <t>Baja Temporal de la Línea Telefónica residencial</t>
  </si>
  <si>
    <t>Larga Distancia Internacional (Canadá)</t>
  </si>
  <si>
    <t>Larga Distancia Internacional a EUA (Banda Norte)</t>
  </si>
  <si>
    <t>Larga Distancia Internacional a EUA (Banda Sur)</t>
  </si>
  <si>
    <t>Larga Distancia Mundial Centroamérica</t>
  </si>
  <si>
    <t>Larga Distancia Mundial Europa</t>
  </si>
  <si>
    <t>Larga Distancia Mundial Resto del Mundo</t>
  </si>
  <si>
    <t>Larga Distancia Mundial Sudamérica</t>
  </si>
  <si>
    <t>Larga Distanicia Internacional a EUA (Frontera)</t>
  </si>
  <si>
    <t>Plan Por Segundo ( Banda Norte)</t>
  </si>
  <si>
    <t>Plan Por Segundo ( Banda Sur)</t>
  </si>
  <si>
    <t>Plan Por Segundo ( EQLLP )</t>
  </si>
  <si>
    <t>Plan Por Segundo ( Frontera)</t>
  </si>
  <si>
    <t>Plan Por Segundo ( Resto del Mundo)</t>
  </si>
  <si>
    <t>Plan Por Segundo (Canadá)</t>
  </si>
  <si>
    <t>Plan Por Segundo (Centroamérica)</t>
  </si>
  <si>
    <t>Plan Por Segundo (Europa)</t>
  </si>
  <si>
    <t>Plan Por Segundo (Sudamérica)</t>
  </si>
  <si>
    <t>Servicio Medido Comercial</t>
  </si>
  <si>
    <t>Servicio Medido Residencial</t>
  </si>
  <si>
    <t>Línea Negocio 1000</t>
  </si>
  <si>
    <t>Línea Negocio 200</t>
  </si>
  <si>
    <t>Línea Negocio 500</t>
  </si>
  <si>
    <t>Minutos Flex Negocio 200</t>
  </si>
  <si>
    <t>Minutos Flex Negocio 500</t>
  </si>
  <si>
    <t>Tarifa Unica (Banda Norte a EUA)</t>
  </si>
  <si>
    <t>Tarifa Unica (Banda Sur a EUA)</t>
  </si>
  <si>
    <t>Tarifa Unica (Canadá)</t>
  </si>
  <si>
    <t>Tarifa Unica (Centroamérica)</t>
  </si>
  <si>
    <t>Tarifa Unica (Europa)</t>
  </si>
  <si>
    <t>Tarifa Unica (Frontera EUA)</t>
  </si>
  <si>
    <t>Tarifa Unica (Resto del Mundo)</t>
  </si>
  <si>
    <t>Tarifa Unica (Sudamérica)</t>
  </si>
  <si>
    <t>Pago único por activación</t>
  </si>
  <si>
    <t>Renta mensual por Servicios Digitales (SD)</t>
  </si>
  <si>
    <t>Estimación de tarifas del Servicio de Reventa de Internet (SRI)</t>
  </si>
  <si>
    <t>Tarifas de planes y paquetes</t>
  </si>
  <si>
    <t>Velocidad bajada</t>
  </si>
  <si>
    <t>Velocidad subida</t>
  </si>
  <si>
    <t>Estimación de tarifas del Servicio de Reventa de Paquetes (SRP)</t>
  </si>
  <si>
    <t>Precios implícitos</t>
  </si>
  <si>
    <t>Servicios Digitales</t>
  </si>
  <si>
    <t>Distribución de Usuarios</t>
  </si>
  <si>
    <t>Usuarios</t>
  </si>
  <si>
    <t>Tarifas de servicios adicionales a planes y paquetes</t>
  </si>
  <si>
    <t>Infinitum bajo demanda 100 MB - 3 días</t>
  </si>
  <si>
    <t>Infinitum bajo demanda 100 MB - 7 días</t>
  </si>
  <si>
    <t>Infinitum bajo demanda 100 MB - 15 días</t>
  </si>
  <si>
    <t>Infinitum bajo demanda 150 MB - 3 días</t>
  </si>
  <si>
    <t>Infinitum bajo demanda 150 MB - 7 días</t>
  </si>
  <si>
    <t>Infinitum bajo demanda 150 MB - 15 días</t>
  </si>
  <si>
    <t>Infinitum bajo demanda 200 MB - 3 días</t>
  </si>
  <si>
    <t>Infinitum bajo demanda 200 MB - 7 días</t>
  </si>
  <si>
    <t>Infinitum bajo demanda 200 MB - 15 días</t>
  </si>
  <si>
    <t>Infinitum play bajo demanda 100 MB - 3 días</t>
  </si>
  <si>
    <t>Infinitum play bajo demanda 100 MB - 7 días</t>
  </si>
  <si>
    <t>Infinitum play bajo demanda 100 MB - 15 días</t>
  </si>
  <si>
    <t>Infinitum play bajo demanda 150 MB - 3 días</t>
  </si>
  <si>
    <t>Infinitum play bajo demanda 150 MB - 7 días</t>
  </si>
  <si>
    <t>Infinitum play bajo demanda 150 MB - 15 días</t>
  </si>
  <si>
    <t>Infinitum play bajo demanda 200 MB - 3 días</t>
  </si>
  <si>
    <t>Infinitum play bajo demanda 200 MB - 7 días</t>
  </si>
  <si>
    <t>Infinitum play bajo demanda 200 MB - 15 días</t>
  </si>
  <si>
    <t>Datos aportados por el AEP</t>
  </si>
  <si>
    <t>Los datos presentes en las hojas ubicadas a la derecha fueron aportados por AEP para el desarrollo del modelo en comento</t>
  </si>
  <si>
    <t>Información de tarifas de planes y paquetes</t>
  </si>
  <si>
    <t xml:space="preserve">a. Tarifas de planes y paquetes </t>
  </si>
  <si>
    <t xml:space="preserve">Reportar los datos relativos a planes y paquetes que los usuarios pueden contratar con Telmex y Telnor, mediante una línea nueva o existente, </t>
  </si>
  <si>
    <t>Tipo de Contraprestación*</t>
  </si>
  <si>
    <t>Renta mensual (con impuestos)</t>
  </si>
  <si>
    <t>¿Cuenta con tarifa preferencial por la contratación de algún servicio de Telecomunicaciones Móviles (STM) que ajuste el monto de la renta mensual? (Si/No)</t>
  </si>
  <si>
    <t>Tarifa STM (sin impuestos)</t>
  </si>
  <si>
    <t>Renta menusual preferencial por la contratación del STM (sin impuestos)</t>
  </si>
  <si>
    <t>Términos y condiciones</t>
  </si>
  <si>
    <t>¿Cuenta con tarifa preferencial por la contratación de algún servicio OTT que ajuste el monto de la renta mensual? (Si/No)</t>
  </si>
  <si>
    <t>Tarifa Netflix Estándar con anuncios (sin impuestos)</t>
  </si>
  <si>
    <t>Renta menusual preferencial por la contratación del Netflix Estándar con anuncios (sin impuestos)</t>
  </si>
  <si>
    <t>Tarifa Netflix Estándar (sin impuestos)</t>
  </si>
  <si>
    <t>Renta menusual preferencial por la contratación del Netflix Estándar (sin impuestos)</t>
  </si>
  <si>
    <t>Tarifa Netflix Premium (sin impuestos)</t>
  </si>
  <si>
    <t>Renta menusual preferencial por la contratación del Netflix Premium (sin impuestos)</t>
  </si>
  <si>
    <t>Tarifa Prime Video (sin impuestos)</t>
  </si>
  <si>
    <t>Renta menusual preferencial por la contratación Prime Video (sin impuestos)</t>
  </si>
  <si>
    <t>Tarifa Disney + (sin impuestos)</t>
  </si>
  <si>
    <t>Renta menusual preferencial por la contratación Disney + (sin impuestos)</t>
  </si>
  <si>
    <t>Tarifa Star + (sin impuestos)</t>
  </si>
  <si>
    <t>Renta menusual preferencial por la contratación Star + (sin impuestos)</t>
  </si>
  <si>
    <t>Tarifa F1 TV Pro (sin impuestos)</t>
  </si>
  <si>
    <t>Renta menusual preferencial por la contratación F1 TV Pro (sin impuestos)</t>
  </si>
  <si>
    <t>Tarifa OTT #1 (sin impuestos)</t>
  </si>
  <si>
    <t>Renta menusual preferencial por la contratación OTT #1 (sin impuestos)</t>
  </si>
  <si>
    <t>Tarifa OTT #2 (sin impuestos)</t>
  </si>
  <si>
    <t>Renta menusual preferencial por la contratación OTT #2 (sin impuestos)</t>
  </si>
  <si>
    <t>¿Cuenta con la promoción para paquetes superiores, por las que se ajuste el monto de la renta mensual? (Si/No)</t>
  </si>
  <si>
    <t>Renta menusual preferencial ajustada por la promición para paquetes superiores (sin impuestos)</t>
  </si>
  <si>
    <t>Renta menusual preferencial ajustada por la promición para paquetes superiores (con impuestos)</t>
  </si>
  <si>
    <t>Nombre de la promoción/promociones</t>
  </si>
  <si>
    <t>Renta menusual con tarifa preferencia (sin impuestos)</t>
  </si>
  <si>
    <t>Renta menusual con tarifa preferencia (con impuestos)</t>
  </si>
  <si>
    <t>Internet fijo</t>
  </si>
  <si>
    <t>No</t>
  </si>
  <si>
    <t>Si</t>
  </si>
  <si>
    <t>Telefonía fija + Internet fijo</t>
  </si>
  <si>
    <t>Sí</t>
  </si>
  <si>
    <t>Especifique Modalidad</t>
  </si>
  <si>
    <t>Especifique Tipo de Servicio</t>
  </si>
  <si>
    <t>* Especificar este dato empleando el listado que se despliega al seleccionar la celda correspondiente.</t>
  </si>
  <si>
    <t>Por favor, inserte filas adicionales para añadir información de todas las posibilidades.</t>
  </si>
  <si>
    <r>
      <t xml:space="preserve">Reportar otros servicios </t>
    </r>
    <r>
      <rPr>
        <b/>
        <i/>
        <sz val="9"/>
        <rFont val="Arial"/>
        <family val="2"/>
      </rPr>
      <t xml:space="preserve">no considerados en a, </t>
    </r>
    <r>
      <rPr>
        <i/>
        <sz val="9"/>
        <rFont val="Arial"/>
        <family val="2"/>
      </rPr>
      <t>por ejemplo:</t>
    </r>
  </si>
  <si>
    <r>
      <rPr>
        <b/>
        <i/>
        <sz val="9"/>
        <rFont val="Arial"/>
        <family val="2"/>
      </rPr>
      <t>1)</t>
    </r>
    <r>
      <rPr>
        <i/>
        <sz val="9"/>
        <rFont val="Arial"/>
        <family val="2"/>
      </rPr>
      <t xml:space="preserve"> planes y paquetes relativos a servicios que para su aplicación es requisito contar con otro plan o paquete previamente contratado </t>
    </r>
  </si>
  <si>
    <t xml:space="preserve">(por ejemplo “Plan Lada Ahorro” que permite complementar una “Línea Comercial”  o "Línea Residencial" con tarifas de larga distancia dependiendo del rango de consumo) </t>
  </si>
  <si>
    <r>
      <t xml:space="preserve">o </t>
    </r>
    <r>
      <rPr>
        <b/>
        <i/>
        <sz val="9"/>
        <rFont val="Arial"/>
        <family val="2"/>
      </rPr>
      <t>2)</t>
    </r>
    <r>
      <rPr>
        <i/>
        <sz val="9"/>
        <rFont val="Arial"/>
        <family val="2"/>
      </rPr>
      <t xml:space="preserve"> servicios que son de diferente naturaleza</t>
    </r>
  </si>
  <si>
    <t>Sin impuestos</t>
  </si>
  <si>
    <t>Con impuestos</t>
  </si>
  <si>
    <t>Residencial y No Residencial</t>
  </si>
  <si>
    <t>Cobro por minuto</t>
  </si>
  <si>
    <t>Gastos de Instalación Residencial</t>
  </si>
  <si>
    <t>Otro (describa el tipo de cobro)</t>
  </si>
  <si>
    <t>Gastos de Instalación Comercial</t>
  </si>
  <si>
    <t>Gastos de Instalación Internet Infinitum</t>
  </si>
  <si>
    <t>La renta de la línea incluye 100 llamadas de Servicio Medido</t>
  </si>
  <si>
    <t>Cobro por segundo</t>
  </si>
  <si>
    <t>Lada 100 Frontera</t>
  </si>
  <si>
    <t>Cancelado el 24 de abril de 2019. Por lo tanto ya no se comercializa, sin embargo, hay clientes que conservan el servicio.</t>
  </si>
  <si>
    <t>Lada 100 Internacional (100 min)</t>
  </si>
  <si>
    <t>Lada 100 Internacional (50 min)</t>
  </si>
  <si>
    <t>Plan Lada Ahorro</t>
  </si>
  <si>
    <t>Plan que ofrece tarifas de larga distancia dependiendo del rango de consumo</t>
  </si>
  <si>
    <t>Lada Frontera Hogar con Lada Ahorro (Frontera)</t>
  </si>
  <si>
    <t>Lada Frontera Hogar con Lada Ahorro (Banda Norte)</t>
  </si>
  <si>
    <t>Lada Frontera Hogar con Tarifa Unica (Frontera)</t>
  </si>
  <si>
    <t>Lada Frontera Hogar con Tarifa Unica (Banda Norte)</t>
  </si>
  <si>
    <t>Plan Lada Frontera Negocios (Frontera)</t>
  </si>
  <si>
    <t>Plan Lada Frontera Negocios (Banda Norte)</t>
  </si>
  <si>
    <t>Plan 100 por 100 de Servicio Medido Local</t>
  </si>
  <si>
    <t>Plan 200 Minutos Lada Mundial</t>
  </si>
  <si>
    <t>Plan Lada Mundial 50 Minutos</t>
  </si>
  <si>
    <t>Plan LDI 50</t>
  </si>
  <si>
    <t>Cancelado el 18 de dicicembre de 2018. Por lo tanto ya no se comercializa, sin embargo, hay clientes que conservan el servicio.</t>
  </si>
  <si>
    <t>Plan Local 100 X 70</t>
  </si>
  <si>
    <t>Plan Local 50</t>
  </si>
  <si>
    <t>Plan Negocio 100</t>
  </si>
  <si>
    <t>Cancelado el 13 de diciembre de 2018.  Por lo tanto ya no se comercializa, sin embargo, hay clientes que conservan el servicio.</t>
  </si>
  <si>
    <t>Línea Hogar 200</t>
  </si>
  <si>
    <t>Cancelado el 13 de noviembre de 2018. Por lo tanto ya no se comercializa, sin embargo, hay clientes que conservan el servicio.</t>
  </si>
  <si>
    <t>Línea Hogar 300</t>
  </si>
  <si>
    <t>Línea Hogar 400</t>
  </si>
  <si>
    <t>Infinitum Pack (100 x 100 Llamadas de Servicio Medido)</t>
  </si>
  <si>
    <t>Plan para clientes que tienen contratado el servicio de Infinitum. Cancelado el 13 de noviembre de 2018.  Por lo tanto ya no se comercializa, sin embargo, hay clientes que conservan el servicio.</t>
  </si>
  <si>
    <t>Infinitum Pack (Lada Internacional 100 x 150)</t>
  </si>
  <si>
    <t>Infinitum Pack (Lada Mundial)</t>
  </si>
  <si>
    <t>Red Multilinea</t>
  </si>
  <si>
    <t>Cancelado el 1° de marzo de 2023. Por lo tanto ya no se comercializa, sin embargo, hay clientes que conservan el servicio.</t>
  </si>
  <si>
    <t>Inicio de vigencia 5/12/2019. Tarifa por evento. Aplica a los servicios residenciales: Paquete 289, Paquete Infinitum 333, Paquete 389, Paquete 435, Paquete 499, Infinitum 20 Mb e Infinitum 30 Mb . Aplica a los servicios comerciales: Paquete Conectes Negocio, Paquete Mi Negocio, Infinitum Negocio 20 Mb e Infinitum Negocio 30 Mb</t>
  </si>
  <si>
    <t>Inicio de vigencia 5/12/2019. Tarifa por evento. Aplica a los servicios residenciales: Paquete 289, Paquete Infinitum 333, Paquete 389, Paquete 435, Paquete 499, Paquete 599, Infinitum 20 Mb, Infinitum 30 Mb e Infinitum 150 Mb. Aplica a los servicios comerciales: Paquete Conectes Negocio, Paquete Mi Negocio, Paquete Supernegocio, Infinitum Negocio 20 Mb, Infinitum Negocio 30 Mb e Infinitum Negocio 150 Mb</t>
  </si>
  <si>
    <t>Inicio de vigencia 24/01/2020. Tarifa por evento. Aplica a los servicios residenciales: Paquete Infinitum Play 20, Paquete Infinitum Play 30, Paquete Infinitum Play 40, Infinitum Play 20 e Infinitum Play 30</t>
  </si>
  <si>
    <t>Inicio de vigencia 24/01/2020. Tarifa por evento. Paquete Infinitum Play 20, Paquete Infinitum Play 30, Paquete Infinitum Play 40, Paquete Infinitum Play 150, Infinitum Play 20, Infinitum Play 30 e Infinitum Play 150</t>
  </si>
  <si>
    <t>Canasta de servicios incluidos en la tarifa de los planes y paquetes y por el pago de una tarifa preferencial</t>
  </si>
  <si>
    <t>Canasta de servicios incluidos y adicionales en la tarifa de los planes y paquetes</t>
  </si>
  <si>
    <t>Para llenar el siguiente cuadro se solicita proporcionar la información listada a continuación:</t>
  </si>
  <si>
    <t>a) Canasta de servicios que se incluyen como parte de la renta mensual</t>
  </si>
  <si>
    <t>b) Canasta de servicios que se incluyen como parte de la tarifa preferencial de la renta mensual por la adquisición de servicios STM u OTT</t>
  </si>
  <si>
    <t>c) Canasta de promociones por las cuales se modifique la renta mensual del plan o paquete.</t>
  </si>
  <si>
    <t>Periodo al que corresponde</t>
  </si>
  <si>
    <t>Canasta de servicios que se incluyen como parte de la renta mensual</t>
  </si>
  <si>
    <t>Renta mensual</t>
  </si>
  <si>
    <t>Línea telefónica</t>
  </si>
  <si>
    <t>Servicios digitales</t>
  </si>
  <si>
    <t>Servicios de internet</t>
  </si>
  <si>
    <t>Servicios STM incluidos en la renta mensual</t>
  </si>
  <si>
    <t>Servicios OTT incluidos en la renta mensual</t>
  </si>
  <si>
    <t>Otros servicios</t>
  </si>
  <si>
    <t>Cargos adicionales</t>
  </si>
  <si>
    <t>Tarifa preferencial por pago de STM</t>
  </si>
  <si>
    <t>Tarifa preferencial por pago de servicios OTT</t>
  </si>
  <si>
    <t>Cantidad de líneas incluidas</t>
  </si>
  <si>
    <t>Minutos de Larga Distancia Internacional (Estados Unidos y Canadá) incluidos</t>
  </si>
  <si>
    <t>Minutos a Larga Distancia Mundial incluidos</t>
  </si>
  <si>
    <t>Minutos a celular (modalidad “El que llama paga”) incluidos</t>
  </si>
  <si>
    <t>Cantidad de servicios digitales incluidos</t>
  </si>
  <si>
    <t>Nombre de los servicios digitales incluidos</t>
  </si>
  <si>
    <t>¿Cuenta con promociones que incrementen su velocidad a partir del pago de la misma renta mensual? (Si/No)</t>
  </si>
  <si>
    <t>Duración del periodo de tiempo (en meses) en que ofrece la promoción de incremento de velocidad</t>
  </si>
  <si>
    <t>Velocidad de bajada ofertada (Mbps) con la promoción de aumento de velocidad</t>
  </si>
  <si>
    <t>Velocidad de subida ofertada (Mbps) con la promoción de aumento de velocidad</t>
  </si>
  <si>
    <t>Incluye algún o algunos servicios STM
Especifique el servicio, plan o paquete</t>
  </si>
  <si>
    <t>Términos y condiciones del servicio**</t>
  </si>
  <si>
    <t>Duración del periodo (meses) en que ofrece a los usuarios finales el STM sin costo</t>
  </si>
  <si>
    <t>¿Incluye Netflix?
(Dispositivos incluidos)</t>
  </si>
  <si>
    <t>Duración del periodo de tiempo (en meses) en que ofrece a los usuarios finales el servicio de Netflix sin costo</t>
  </si>
  <si>
    <t>¿Incluye Claro video?</t>
  </si>
  <si>
    <t>¿Incluye otro servicio OTT? (especifique)</t>
  </si>
  <si>
    <t>Duración del periodo de tiempo (en meses) en que ofrece a los usuarios finales el servicio de otro(s) sin costo</t>
  </si>
  <si>
    <t>Equipo terminal (Módem/ONT)***</t>
  </si>
  <si>
    <t>Instalación de acometida***</t>
  </si>
  <si>
    <t>Antivirus***</t>
  </si>
  <si>
    <t>A rodar en Infinitum***</t>
  </si>
  <si>
    <t>WiFi Móvil en Infinitum***</t>
  </si>
  <si>
    <t>Infinitum Mail***</t>
  </si>
  <si>
    <t xml:space="preserve">Seguridad Internet </t>
  </si>
  <si>
    <t>Respaldo de Información</t>
  </si>
  <si>
    <t>Correo Negocio</t>
  </si>
  <si>
    <t>ADM Factura</t>
  </si>
  <si>
    <t>ADM Básico</t>
  </si>
  <si>
    <t>Página Web</t>
  </si>
  <si>
    <t>Sección Amarilla</t>
  </si>
  <si>
    <t>Claro Drive</t>
  </si>
  <si>
    <t>Cargo adicional por llamada a Llamada local</t>
  </si>
  <si>
    <t>Cargo adicional por minuto a celular</t>
  </si>
  <si>
    <t>Cargo adicional por Larga Distancia Internacional (Estados Unidos y Canadá).</t>
  </si>
  <si>
    <t>Otros cargos adicionales. Introduzca las columnas que sean necesarias</t>
  </si>
  <si>
    <t>¿Cuenta con tarifa preferencial por la contratación de algún STM que ajuste el monto de la renta mensual? (Si/No)</t>
  </si>
  <si>
    <t>Indique plan(es) o paquete(s) STM</t>
  </si>
  <si>
    <t>Terminos y condiciones</t>
  </si>
  <si>
    <t>¿Aplica Netflix?
(señale el plan que incluye)</t>
  </si>
  <si>
    <t>¿Aplica Prime Video? 
(señale 1 si incluye y 0 si no lo incluye)</t>
  </si>
  <si>
    <t>¿Aplica Disney +? 
(señale 1 si incluye y 0 si no lo incluye)</t>
  </si>
  <si>
    <t>¿Aplica Star +? 
(señale 1 si incluye y 0 si no lo incluye)</t>
  </si>
  <si>
    <t>¿Aplica F1 TV Pro?
(señale 1 si incluye y 0 si no lo incluye)</t>
  </si>
  <si>
    <t>¿Aplica otra OTT? (Especifique el(los) nombre(s)del(os) OTT(s))</t>
  </si>
  <si>
    <t>¿Cuenta con la promoción para paquetes superiores? (Si/No)</t>
  </si>
  <si>
    <t>Duración del periodo de tiempo (en meses) en que ofrece la promoción de paquetes superiores</t>
  </si>
  <si>
    <t>Términos y condiciones de la promoción para paquetes superiores</t>
  </si>
  <si>
    <t>¿Cuenta con otras promociones en el paquete? (Si/No)</t>
  </si>
  <si>
    <t>Nombre de la promoción que ajuste el monto de la renta mensual</t>
  </si>
  <si>
    <t xml:space="preserve">Duración del periodo de tiempo (en meses) en que ofrece la promoción </t>
  </si>
  <si>
    <t>Términos y condiciones de la promoción</t>
  </si>
  <si>
    <t>50 Mbps</t>
  </si>
  <si>
    <t>5 Mbps</t>
  </si>
  <si>
    <t>12 meses</t>
  </si>
  <si>
    <t>Sí, comodato</t>
  </si>
  <si>
    <t>Válido únicamente en CDMX, préstamos de hasta 4 bicicletas para el paseo dominical en Reforma</t>
  </si>
  <si>
    <t>Sin costo.
• Tiempo de navegación ilimitado para clientes infinitum.
• 120 minutos sin costo, para Clientes No Infinitum que naveguen en Restaurantes/Cafés Sanborns y Starbucks, Sitios Públicos CDMX, Universidades/Escuelas UNAM y Sitios Públicos SEDENA por periodos de 24 horas</t>
  </si>
  <si>
    <t>Sin costo
Las cuentas de CORREO ELECTRÓNICO que le correspondan de
conformidad a la modalidad del SERVICIO contratado y que el número de cuentas a las que tiene derecho estará publicado en la
página de Internet: www.telmex.com y las mismas podrán ser activadas y configuradas por el CONSUMIDOR con cualquiera de
los dominios y plataforma que se encuentren vigentes al momento de la activación.</t>
  </si>
  <si>
    <t>Espacio para guardar, compartir, respaldar y descargar archivos en la Nube www.telmex.com/terminoshogar/Claro Drive</t>
  </si>
  <si>
    <t>Especifique paquete de Netflix</t>
  </si>
  <si>
    <t>500 Mbps</t>
  </si>
  <si>
    <t>60 Mbps</t>
  </si>
  <si>
    <t>100 Mbps</t>
  </si>
  <si>
    <t>10 Mbps</t>
  </si>
  <si>
    <t>200 Mbps</t>
  </si>
  <si>
    <t>20 Mbps</t>
  </si>
  <si>
    <t>30 Mbps</t>
  </si>
  <si>
    <t>40 Mbps</t>
  </si>
  <si>
    <t>Incluido. Préstamo de hasta 4 bicicletas.  El Cliente deberá ser persona física , registrarse y aceptar  términos en línea en la página www.telmex.com/arodareninfinitum entrando en la sección denominada Mi Telmex</t>
  </si>
  <si>
    <t>Conexión ilimitada en más de 9,500 sitios en todo México. En cualquier sitio infinitum móvil conéctate a la red "infinitum movil". Abrirá la landing de bienvenida en donde encontrará los TyC  https://downloads.telmex.com/pdf/infoRelevante_WiFiMovil.pdf</t>
  </si>
  <si>
    <t>Protege 1 computadora contra todo tipo de amenazas: virus, troyanos, hackers y fraudes en internet. www.telmex.com/terminosnegocio/Servicios Promoción Cloud</t>
  </si>
  <si>
    <t>.640 Mbps</t>
  </si>
  <si>
    <t>15 Mbps</t>
  </si>
  <si>
    <t>Ilimitadas</t>
  </si>
  <si>
    <t>Ilimitados</t>
  </si>
  <si>
    <t>Llamada en espera, Sígueme, Tres a la vez, Buzón Premium e Identificador de llamadas</t>
  </si>
  <si>
    <t>150 Mbps</t>
  </si>
  <si>
    <t>Genera una copia de seguridad de los archivos del Negocio y recupéralos desde la nube en caso de robo o falla.
 www.telmex.com/terminosnegocio/Respaldo de Informacion</t>
  </si>
  <si>
    <t>Cuenta de correo con dominio personalizado por el cliente para promover el nombre del negocio. www.telmex.com/terminosnegocio/Correo Negocio</t>
  </si>
  <si>
    <t>ADM Factura, emite electrónicas ilimitadas, comprobante de recepción de pago desde una aplicación y en cualquier dispositivo. www.telmex.com/terminosnegocio/Aspel</t>
  </si>
  <si>
    <t>Emite facturas ilimitadas, notas de crédito y comprobantes de pago  desde cualquier lugar y dispositivo.​​​​​​​​​​​​​​  Incluye ADM Tienda para el control de punto de venta. www.telmex.com/terminosnegocio/Aspel</t>
  </si>
  <si>
    <t>Anuncio digital en la página de Sección Amarilla con el nombre y datos de ubicación del Negocio. www.telmex.com/terminosnegocio/Sección Amarilla</t>
  </si>
  <si>
    <t>1000 Mbps</t>
  </si>
  <si>
    <t>Página Web con Dominio y plantillas para diseñar, promocionar y publicar el Negocio en internet. www.telmex.com/terminosnegocio/Página Web</t>
  </si>
  <si>
    <t>ADM Básico, Emite facturas ilimitadas, timbres ilimitados, catalogo de clientes y productos, comprobantes fiscales, comprobantes de recepción de pago, módulo de cotizaciones y ADM tienda.</t>
  </si>
  <si>
    <t>0.768 Mbps</t>
  </si>
  <si>
    <t xml:space="preserve">** Especificar si a través de la renta mensual de dichos servicios, se ofrece a los usuarios finales el servicio sin costo por tiempo ilimitado, un periodo de tiempo o no, describiendo, en su caso, tarifa, términos y condiciones del servicio. </t>
  </si>
  <si>
    <t>*** Especificar si se encuentra incluida en la renta mensual del servicio o no, describiendo, en su caso, tarifa, términos y condiciones del servicio</t>
  </si>
  <si>
    <t>Por favor, inserte filas adicionales para dar cuenta de todas las posibilidades</t>
  </si>
  <si>
    <t>También se deberá especificar cuál es el plazo en que dicho servicio se ofrece sin costo a los usuarios finales</t>
  </si>
  <si>
    <t>EXTRACCIONES IFT</t>
  </si>
  <si>
    <t>80 Mbps</t>
  </si>
  <si>
    <t>300 Mbps</t>
  </si>
  <si>
    <t>750 Mbps</t>
  </si>
  <si>
    <t>Número de suscriptores y líneas activas totales a través de las cuales se proporcionan  planes y paquetes</t>
  </si>
  <si>
    <t>a. Número de suscriptores activos totales de planes y paquetes</t>
  </si>
  <si>
    <t>A. Suscriptores que tienen contratado el plan o paquete y que no cuentan con una tarifa preferencial en su renta mensual</t>
  </si>
  <si>
    <t xml:space="preserve">B. Suscriptores que tiene contratado al menos un STM que cuentan con una tarifa preferencial en su renta mensual. </t>
  </si>
  <si>
    <t>b. Número suscriptores activos totales por otros servicios</t>
  </si>
  <si>
    <t>c. Número de suscriptores activos totales, desagregados por medio de transmisión</t>
  </si>
  <si>
    <r>
      <t xml:space="preserve">Reportar los datos relativos a servicios aludidos en </t>
    </r>
    <r>
      <rPr>
        <b/>
        <i/>
        <sz val="9"/>
        <rFont val="Arial"/>
        <family val="2"/>
      </rPr>
      <t>a</t>
    </r>
    <r>
      <rPr>
        <i/>
        <sz val="9"/>
        <rFont val="Arial"/>
        <family val="2"/>
      </rPr>
      <t xml:space="preserve"> y </t>
    </r>
    <r>
      <rPr>
        <b/>
        <i/>
        <sz val="9"/>
        <rFont val="Arial"/>
        <family val="2"/>
      </rPr>
      <t>b</t>
    </r>
    <r>
      <rPr>
        <i/>
        <sz val="9"/>
        <rFont val="Arial"/>
        <family val="2"/>
      </rPr>
      <t>.</t>
    </r>
  </si>
  <si>
    <t>Cobre.  Cobre desde el edificio del AEP hasta el usuario.</t>
  </si>
  <si>
    <t>FTTH. Fibra desde el edificio del AEP hasta el usuario o edificio.</t>
  </si>
  <si>
    <t xml:space="preserve">FTTC. Fibra hasta un punto intermedio entre el edificio del AEP y el usuario y despues cobre hasta el usuario. </t>
  </si>
  <si>
    <t>Imputación del costo de los servicios en el precio que se ofrece al usuario final</t>
  </si>
  <si>
    <t>La renta mensual de cada plan o paquete deberá reconciliar con la asignación de costos propuesta</t>
  </si>
  <si>
    <t>Cantidad mensual en pesos</t>
  </si>
  <si>
    <t>Costo de la línea</t>
  </si>
  <si>
    <t>Costos asociado a Servicios de voz</t>
  </si>
  <si>
    <t>Costo del Servicio de Banda Ancha</t>
  </si>
  <si>
    <t>Costo de Servicios Digitales</t>
  </si>
  <si>
    <t>Costo de OTT</t>
  </si>
  <si>
    <t>Otros costos</t>
  </si>
  <si>
    <t>Costo de Llamadas locales</t>
  </si>
  <si>
    <t>Costo de Minutos de Larga Distancia Internacional  (EEUU y Canadá)</t>
  </si>
  <si>
    <t>Costo de Minutos de Larga Distancia Mundial</t>
  </si>
  <si>
    <t>Costo Minutos a celular (en modalidad "El Que Llama Paga")</t>
  </si>
  <si>
    <t>Costo del Servicio de Banda Ancha con promoción de aumento de velocidad</t>
  </si>
  <si>
    <t>Claro Video</t>
  </si>
  <si>
    <t>Netflix</t>
  </si>
  <si>
    <t>Disney +</t>
  </si>
  <si>
    <t>Star +</t>
  </si>
  <si>
    <t>Otros OTT</t>
  </si>
  <si>
    <t>Otro costos (especifique)</t>
  </si>
  <si>
    <t>Justificación</t>
  </si>
  <si>
    <t>Renta mensual con tarifa preferencial (sin impuestos)</t>
  </si>
  <si>
    <t>Paquetes superiores</t>
  </si>
  <si>
    <t>Otras promociones</t>
  </si>
  <si>
    <t>Renta mensual con tarifa promocional por paquetes superiores (sin impuestos)</t>
  </si>
  <si>
    <t>Renta mensual con tarifa promocional (sin impuestos)</t>
  </si>
  <si>
    <t>Instrucciones generales:</t>
  </si>
  <si>
    <t>Ingrese el costo, respecto al valor de la renta mensual, que representa proveer servicios Telefonía fija e Internet fijo en cada paquetes o servicios conforme a las siguientes características.</t>
  </si>
  <si>
    <t>Costos asociados a Servicios de voz</t>
  </si>
  <si>
    <t>Costo del STM</t>
  </si>
  <si>
    <t>Servicios de Telecomunicaciones Móviles</t>
  </si>
  <si>
    <t>F1 TV Pro</t>
  </si>
  <si>
    <t>IFT</t>
  </si>
  <si>
    <t>Costo línea</t>
  </si>
  <si>
    <t>Costo voz</t>
  </si>
  <si>
    <t>Costo BA</t>
  </si>
  <si>
    <t>Costo STM</t>
  </si>
  <si>
    <t>Tarifa max (sin impuestos)</t>
  </si>
  <si>
    <t>Renta menusual preferencial por la contratación max (sin impuestos)</t>
  </si>
  <si>
    <t>Cobro único</t>
  </si>
  <si>
    <t>Claro música***</t>
  </si>
  <si>
    <t>Otros
Incluya las columnas que sean necesarias</t>
  </si>
  <si>
    <t>¿Aplica max? 
(señale 1 si incluye y 0 si no lo incluye)</t>
  </si>
  <si>
    <t>Sin costo
Protege hasta 3 equipos de cómputo (PC o MAC), contra ataques de software malicioso, con actualizaciones automáticas mientras se tenga el servicio Infinitum. Consulta Términos y Condiciones en: 
https://downloads.telmex.com/pdf/infoRelevante_SeguridadInternet_McAfee.pdf?_ga=1.244521408.493520490.1453165444</t>
  </si>
  <si>
    <t>Seguridad Internet ***</t>
  </si>
  <si>
    <t>Respaldo de Información***</t>
  </si>
  <si>
    <t>Correo Negocio***</t>
  </si>
  <si>
    <t>ADM Factura***</t>
  </si>
  <si>
    <t>ADM Básico***</t>
  </si>
  <si>
    <t>Página Web***</t>
  </si>
  <si>
    <t>Sección Amarilla***</t>
  </si>
  <si>
    <t>Reportar los datos relativos a planes y paquetes que los usuarios pueden contratar con Telmex y Telnor, mediante una línea nueva o existente, sin que sea necesaria la contratación previa de un plan o paquete (por ejemplo, “Paquete 333”, “Infinitum Negocio 549”, etc.)</t>
  </si>
  <si>
    <t xml:space="preserve">C. Suscriptores que tiene contratado al menos un servicio OTT (Netflix, Amazon Prime, max, Disney +, Star + u otros OTT) mediante una tarifa preferencial, o bien, que cuentan con una tarifa preferencial en su renta mensual. </t>
  </si>
  <si>
    <r>
      <rPr>
        <b/>
        <i/>
        <sz val="9"/>
        <rFont val="Arial"/>
        <family val="2"/>
      </rPr>
      <t>1)</t>
    </r>
    <r>
      <rPr>
        <i/>
        <sz val="9"/>
        <rFont val="Arial"/>
        <family val="2"/>
      </rPr>
      <t xml:space="preserve"> planes y paquetes relativos a servicios que para su aplicación es requisito contar con otro plan o paquete previamente contratado (por ejemplo “Minutos Flex Negocio 200” que permite complementar una “Línea Comercial”  con cierto número de llamadas locales) </t>
    </r>
  </si>
  <si>
    <t>Amazon Prime</t>
  </si>
  <si>
    <t>max</t>
  </si>
  <si>
    <t>Velocidad Simétrica Negocio 999</t>
  </si>
  <si>
    <r>
      <rPr>
        <b/>
        <sz val="9"/>
        <rFont val="Arial"/>
        <family val="2"/>
      </rPr>
      <t>Fuente:</t>
    </r>
    <r>
      <rPr>
        <sz val="9"/>
        <rFont val="Arial"/>
        <family val="2"/>
      </rPr>
      <t xml:space="preserve"> AEP. Datos promedio de 2019-2023.</t>
    </r>
  </si>
  <si>
    <r>
      <rPr>
        <b/>
        <sz val="9"/>
        <rFont val="Arial"/>
        <family val="2"/>
      </rPr>
      <t xml:space="preserve">Fuente: </t>
    </r>
    <r>
      <rPr>
        <sz val="9"/>
        <rFont val="Arial"/>
        <family val="2"/>
      </rPr>
      <t>El valor se actualizó con el porcentaje de las cuentas de publicidad respecto a los ingresos de banda ancha de separación contable 2019-2022.</t>
    </r>
  </si>
  <si>
    <r>
      <rPr>
        <b/>
        <sz val="9"/>
        <rFont val="Arial"/>
        <family val="2"/>
      </rPr>
      <t>Fuente:</t>
    </r>
    <r>
      <rPr>
        <sz val="9"/>
        <rFont val="Arial"/>
        <family val="2"/>
      </rPr>
      <t xml:space="preserve"> AEP. Datos promedio considerados en la separación contable de 2019-2022.</t>
    </r>
  </si>
  <si>
    <r>
      <rPr>
        <b/>
        <sz val="9"/>
        <rFont val="Arial"/>
        <family val="2"/>
      </rPr>
      <t>Fuente:</t>
    </r>
    <r>
      <rPr>
        <sz val="9"/>
        <rFont val="Arial"/>
        <family val="2"/>
      </rPr>
      <t xml:space="preserve"> CCPP. Condiciones técnicas mínimas de interconexión 2025.</t>
    </r>
  </si>
  <si>
    <r>
      <rPr>
        <b/>
        <sz val="9"/>
        <rFont val="Arial"/>
        <family val="2"/>
      </rPr>
      <t xml:space="preserve">Fuente: </t>
    </r>
    <r>
      <rPr>
        <sz val="9"/>
        <rFont val="Arial"/>
        <family val="2"/>
      </rPr>
      <t>Telmex incremento salarial. https://portal.strm.cloud/documentos/CircularUltimaPropuestaRevision2024.pdf</t>
    </r>
  </si>
  <si>
    <t xml:space="preserve">sin que sea necesaria la contratación previa de un plan o paquete (por ejemplo, “Paquete 333”, “Infinitum Negocio 549”, etc.)
Asimismo, deberá proporcionar información tarifaria relacionada con la contratación adicional de Servicios de Telecomunicaciones Móviles ("STM") o servicios Over The Top  (“OTT” por sus sigas en inglés) o cualquier otra promoción por la cual modifique que ajuste el monto de la renta mensual de cada uno de los planes y paquetes. </t>
  </si>
  <si>
    <t>¿Tiene otras promociones en el paquete que ajusten el precio de la renta mensual o la velocidad de bajada o paquete simétrico? (Si/No)</t>
  </si>
  <si>
    <t>Paquetre 725</t>
  </si>
  <si>
    <t>Infinitum 499</t>
  </si>
  <si>
    <t>Infinitum 649</t>
  </si>
  <si>
    <t>No residencial</t>
  </si>
  <si>
    <t>Infinitum Negocio 499</t>
  </si>
  <si>
    <t>Infinitum Negocio 649</t>
  </si>
  <si>
    <t>Especifique Tipo de Contraprestación</t>
  </si>
  <si>
    <t>Nota: Dicha información deberá corresponder al 31 de diciembre de 2024.</t>
  </si>
  <si>
    <t>¿Tiene otras promociones en el paquete que ajusten el precio de la renta mensual? (Si/No)</t>
  </si>
  <si>
    <t xml:space="preserve">Nota: Dicha información deberá corresponder al 30 de junio de 2025. </t>
  </si>
  <si>
    <t>b. Tarifas de otros servicios 2024 y 2025</t>
  </si>
  <si>
    <t xml:space="preserve">Nota: Dicha información deberá corresponder al 31 de diciembre de 2024 y al 30 de junio de 2025. </t>
  </si>
  <si>
    <t>Promociones adicionales que modifiquen la renta mensual</t>
  </si>
  <si>
    <t>Sin costo.
Claro video es un servicio proporcionado por un tercero. Telmex únicamente es medio de cobro de este servicio. Telmex pagará el servicio de Claro video durante 12 meses para los clientes infinitum con Paquete 389, 435, 499 599, 699, 999, 1499 o Infinitum Puro. También, durante 12 meses el servicio será sin costo para los clientes que tengan los paquetes descritos. Para Paquete 333, 289, 249 y Línea Básica, al contratar Claro video el primer mes no tiene costo. No incluye Pago por Evento. Consulta Términos y Condiciones en www.telmex.com/web/hogar/terminoshogar</t>
  </si>
  <si>
    <t>350 Mbps</t>
  </si>
  <si>
    <t>250 Mbps</t>
  </si>
  <si>
    <t>Incluido. Préstamo de hasta 4 bicicletas para el paseo dominical en Reforma.  Válido únicamente en CDMX, El Cliente deberá ser persona física , registrarse y aceptar  términos en línea en la página www.telmex.com/arodareninfinitum entrando en la sección denominada Mi Telmex</t>
  </si>
  <si>
    <t>Sin costo. Claro video es un servicio proporcionado por un tercero. Telmex únicamente es medio de cobro de este servicio. Telmex pagará el servicio de Claro video durante 12 meses para los clientes infinitum con Paquete 389, 435, 499 599, 699, 999, 1499 o Infinitum Puro. También, durante 12 meses el servicio será sin costo para los clientes que tengan los paquetes descritos. Para Paquete 333, 289, 249 y Línea Básica, al contratar Claro video el primer mes no tiene costo. No incluye Pago por Evento. Consulta Términos y Condiciones en www.telmex.com/web/hogar/terminoshogar</t>
  </si>
  <si>
    <t>Nota: Dicha información deberá corresponder al 30 de junio de 2025.</t>
  </si>
  <si>
    <t>Dicha información deberá corresponder al 31 de diciembre de 2024 y al 30 de junio de 2025.</t>
  </si>
  <si>
    <t>D. Total de Suscriptores 2024 (A+B+C=D)</t>
  </si>
  <si>
    <t>D. Total de Suscriptores 2025 (A+B+C=D)</t>
  </si>
  <si>
    <t>o 2) servicios que son de diferente naturaleza.Nota: Dicha información deberá corresponder al 31 de diciembre de 2024 y al 30 de junio de 2025.</t>
  </si>
  <si>
    <t>Pregunta 5</t>
  </si>
  <si>
    <t>En respuesta al oficio IFT/221/UPR/DG-CIN/079/2024, Telmex y Telnor proporcionaron información asociada a la imputación del costo de los servicios que se incluyen en los planes y paquetes asociados a telefonía fija e Internet fijo en sus modalidades individuales y empaquetadas, dentro de la tarifa correspondiente (es decir, el precio implícito que representan dentro de la tarifa de los planes o paquetes), de los siguientes elementos, de acuerdo con el tipo de servicio:
• Servicios de voz (llamadas, minutos a celular, minutos a larga distancia)
• Servicios de banda ancha
• Servicios de OTT (por ejemplo, Clarovideo)
• Servicio de renta de línea
• Otros (tales como: Antivirus, A rodar en Infinitum, Dropbox, Claro Video, Claro música, Push Travel, WiFi Móvil en Infinitum, Infinitum Mail, Prodigy Mail, Etcétera).
En este sentido, los datos aportados por Telmex y Telnor sobre estos puntos, entre otros, se encuentran reflejados en la siguiente tabla al 30 de junio de 2025:</t>
  </si>
  <si>
    <t>Ingrese el costo, respecto al valor de la renta mensual, que representa proveer servicios Telefonía fija e Internet fijo en cada paquetes o servicio</t>
  </si>
  <si>
    <t>Fuente:</t>
  </si>
  <si>
    <t>Telmex y Telnor, en respuesta al Oficio  IFT/221/UPR/DG-CIN/079/2024</t>
  </si>
  <si>
    <t xml:space="preserve">Al respecto, se solicita actualizar la información correspondiente al 31 de diciembre de 2024 y al 30 de junio de 2025, considerando lo siguiente:
</t>
  </si>
  <si>
    <t xml:space="preserve">• Se deberá complementar los planes y paquetes aportados por Telmex y Telnor a en respuesta al oficio IFT/221/UPR/DG-CIN/079/2024, con aquellos nuevos planes o paquetes que hayan aparecido al 31 de diciembre de 2024 y al 30 de junio de 2025.
</t>
  </si>
  <si>
    <t>• En caso de que los datos de precios implícitos de los servicios que integran un plan o paquete se hayan modificado con respecto a los valores reportados por Telmex y Telnor a en respuesta al oficio IFT/221/UPR/DG-CIN/079/2024, proveer justificación correspondiente de la cual se desprenda dicha variación de los precios implícitos de los servicios que lo integran.</t>
  </si>
  <si>
    <t>Dicha información deberá correspondera al 31 de diciembre de 2024 y al 30 de junio de 2025.</t>
  </si>
  <si>
    <t xml:space="preserve">Nota: Dicha información deberá corresponder al 31 de diciembre de 2024. </t>
  </si>
  <si>
    <t>Modelo 2024</t>
  </si>
  <si>
    <t>Modelo anterior 2025</t>
  </si>
  <si>
    <r>
      <t xml:space="preserve">Fuente: </t>
    </r>
    <r>
      <rPr>
        <sz val="9"/>
        <rFont val="Arial"/>
        <family val="2"/>
      </rPr>
      <t>Cuadro de justificaciones CP ORCI EM 2026</t>
    </r>
    <r>
      <rPr>
        <b/>
        <sz val="9"/>
        <rFont val="Arial"/>
        <family val="2"/>
      </rPr>
      <t xml:space="preserve">. </t>
    </r>
    <r>
      <rPr>
        <sz val="9"/>
        <rFont val="Arial"/>
        <family val="2"/>
      </rPr>
      <t>https://www.ift.org.mx/sites/default/files/industria/temasrelevantes/27420/documentos/orciem2026.zip</t>
    </r>
  </si>
  <si>
    <r>
      <rPr>
        <b/>
        <sz val="9"/>
        <rFont val="Arial"/>
        <family val="2"/>
      </rPr>
      <t>Fuente:</t>
    </r>
    <r>
      <rPr>
        <sz val="9"/>
        <rFont val="Arial"/>
        <family val="2"/>
      </rPr>
      <t xml:space="preserve">  El valor estimado fue calculado a partir de la revisión de la Separación Contable para 2019 a 2023. Por lo cual se sumaron las cuentas de incobrabilidad respecto a sus ingresos operativos en cada ejercicio.</t>
    </r>
  </si>
  <si>
    <r>
      <t>Fuente:</t>
    </r>
    <r>
      <rPr>
        <sz val="9"/>
        <rFont val="Arial"/>
        <family val="2"/>
      </rPr>
      <t xml:space="preserve"> Promedio 2020-2024, a partir del monto calculado entre los de los costos de facturación reportados por Telmex y Telnory los ingresos por facturación de los servicios.</t>
    </r>
  </si>
  <si>
    <r>
      <t>Fuente:</t>
    </r>
    <r>
      <rPr>
        <sz val="9"/>
        <rFont val="Arial"/>
        <family val="2"/>
      </rPr>
      <t xml:space="preserve"> Promedio 2021-2025, a partir del requerimiento de información Telmex /Telnor</t>
    </r>
  </si>
  <si>
    <t>Resultados del modelo con …</t>
  </si>
  <si>
    <t>Datos anonimizados</t>
  </si>
  <si>
    <t>Datos sin anonimizar</t>
  </si>
  <si>
    <t>Descuento por paquetes no señalados en el Anexo tarifario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</si>
</sst>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1">
    <numFmt numFmtId="41" formatCode="_-* #,##0_-;\-* #,##0_-;_-* &quot;-&quot;_-;_-@_-"/>
    <numFmt numFmtId="43" formatCode="_-* #,##0.00_-;\-* #,##0.00_-;_-* &quot;-&quot;??_-;_-@_-"/>
    <numFmt numFmtId="164" formatCode="dd\ mmm\ yy_)"/>
    <numFmt numFmtId="165" formatCode="#,##0_);[Red]\-#,##0_);0_);@_)"/>
    <numFmt numFmtId="166" formatCode="#,##0_);[Red]\-#,##0_);&quot;-&quot;?_);@_)"/>
    <numFmt numFmtId="167" formatCode="#,##0.00_);[Red]\-#,##0.00_);0.00_);@_)"/>
    <numFmt numFmtId="168" formatCode="#,##0.00_);[Red]\-#,##0.00_);&quot;-&quot;?_);@_)"/>
    <numFmt numFmtId="169" formatCode="#,##0%;[Red]\-#,##0%;0%;@_)"/>
    <numFmt numFmtId="170" formatCode="#,##0.00%;[Red]\-#,##0.00%;0.00%;@_)"/>
    <numFmt numFmtId="171" formatCode="* _(#,##0_);[Red]* \(#,##0\);* _(&quot;-&quot;?_);@_)"/>
    <numFmt numFmtId="172" formatCode="* _(#,##0.00_);[Red]* \(#,##0.00\);* _(&quot;-&quot;?_);@_)"/>
    <numFmt numFmtId="173" formatCode="#,##0%;[Red]\-#,##0%;&quot;-&quot;\%;@_)"/>
    <numFmt numFmtId="174" formatCode="#,##0.00%;[Red]\-#,##0.00%;&quot;-&quot;\%;@_)"/>
    <numFmt numFmtId="175" formatCode="[$EUR]\ * _(#,##0_);[Red][$EUR]\ * \(#,##0\);[$EUR]\ * _(&quot;-&quot;?_);@_)"/>
    <numFmt numFmtId="176" formatCode="[$EUR]\ * _(#,##0.00_);[Red][$EUR]\ * \(#,##0.00\);[$EUR]\ * _(&quot;-&quot;?_);@_)"/>
    <numFmt numFmtId="177" formatCode="\€\ * _(#,##0_);[Red]\€\ * \(#,##0\);\€\ * _(&quot;-&quot;?_);@_)"/>
    <numFmt numFmtId="178" formatCode="\€\ * _(#,##0.00_);[Red]\€\ * \(#,##0.00\);\€\ * _(&quot;-&quot;?_);@_)"/>
    <numFmt numFmtId="179" formatCode="[$USD]\ * _(#,##0_);[Red][$USD]\ * \(#,##0\);[$USD]\ * _(&quot;-&quot;?_);@_)"/>
    <numFmt numFmtId="180" formatCode="[$USD]\ * _(#,##0.00_);[Red][$USD]\ * \(#,##0.00\);[$USD]\ * _(&quot;-&quot;?_);@_)"/>
    <numFmt numFmtId="181" formatCode="\$\ * _(#,##0_);[Red]\$\ * \(#,##0\);\$\ * _(&quot;-&quot;?_);@_)"/>
    <numFmt numFmtId="182" formatCode="\$\ * _(#,##0.00_);[Red]\$\ * \(#,##0.00\);\$\ * _(&quot;-&quot;?_);@_)"/>
    <numFmt numFmtId="183" formatCode="[$GBP]\ * _(#,##0_);[Red][$GBP]\ * \(#,##0\);[$GBP]\ * _(&quot;-&quot;?_);@_)"/>
    <numFmt numFmtId="184" formatCode="[$GBP]\ * _(#,##0.00_);[Red][$GBP]\ * \(#,##0.00\);[$GBP]\ * _(&quot;-&quot;?_);@_)"/>
    <numFmt numFmtId="185" formatCode="\£\ * _(#,##0_);[Red]\£\ * \(#,##0\);\£\ * _(&quot;-&quot;?_);@_)"/>
    <numFmt numFmtId="186" formatCode="\£\ * _(#,##0.00_);[Red]\£\ * \(#,##0.00\);\£\ * _(&quot;-&quot;?_);@_)"/>
    <numFmt numFmtId="187" formatCode="mmm\ yy_)"/>
    <numFmt numFmtId="188" formatCode="yyyy_)"/>
    <numFmt numFmtId="189" formatCode="0.0%"/>
    <numFmt numFmtId="190" formatCode="&quot;$&quot;#,##0.00"/>
    <numFmt numFmtId="191" formatCode="#,##0.000"/>
    <numFmt numFmtId="192" formatCode="_-* #,##0_-;\-* #,##0_-;_-* &quot;-&quot;??_-;_-@_-"/>
    <numFmt numFmtId="193" formatCode="#,##0.0%;[Red]\-#,##0.0%;0.0%;@_)"/>
    <numFmt numFmtId="194" formatCode="0.000%"/>
    <numFmt numFmtId="195" formatCode="#,##0_);[Red]\-#,##0_);\-_);@_)"/>
    <numFmt numFmtId="196" formatCode="0.000"/>
    <numFmt numFmtId="197" formatCode="0.0"/>
    <numFmt numFmtId="198" formatCode="_-* #,##0.0_-;\-* #,##0.0_-;_-* &quot;-&quot;??_-;_-@_-"/>
    <numFmt numFmtId="199" formatCode="#,##0.00_ ;\-#,##0.00\ "/>
    <numFmt numFmtId="200" formatCode="#,##0_ ;[Red]\-#,##0\ "/>
    <numFmt numFmtId="201" formatCode="0.0000%"/>
    <numFmt numFmtId="202" formatCode="_-* #,##0.0000_-;\-* #,##0.0000_-;_-* &quot;-&quot;??_-;_-@_-"/>
  </numFmts>
  <fonts count="59" x14ac:knownFonts="1">
    <font>
      <sz val="9"/>
      <name val="Arial"/>
      <family val="2"/>
    </font>
    <font>
      <sz val="11"/>
      <color rgb="FFFF0000"/>
      <name val="Calibri"/>
      <family val="2"/>
      <scheme val="minor"/>
    </font>
    <font>
      <i/>
      <sz val="11"/>
      <color rgb="FF7F7F7F"/>
      <name val="Calibri"/>
      <family val="2"/>
      <scheme val="minor"/>
    </font>
    <font>
      <sz val="11"/>
      <color theme="0"/>
      <name val="Calibri"/>
      <family val="2"/>
      <scheme val="minor"/>
    </font>
    <font>
      <sz val="9"/>
      <name val="Arial"/>
      <family val="2"/>
    </font>
    <font>
      <b/>
      <sz val="22"/>
      <name val="Arial"/>
      <family val="2"/>
    </font>
    <font>
      <b/>
      <sz val="14"/>
      <name val="Arial"/>
      <family val="2"/>
    </font>
    <font>
      <b/>
      <sz val="9"/>
      <name val="Arial"/>
      <family val="2"/>
    </font>
    <font>
      <b/>
      <sz val="12"/>
      <name val="Arial"/>
      <family val="2"/>
    </font>
    <font>
      <i/>
      <sz val="9"/>
      <name val="Arial"/>
      <family val="2"/>
    </font>
    <font>
      <sz val="8"/>
      <name val="Arial"/>
      <family val="2"/>
    </font>
    <font>
      <u/>
      <sz val="8"/>
      <name val="Arial"/>
      <family val="2"/>
    </font>
    <font>
      <u/>
      <sz val="9"/>
      <name val="Arial"/>
      <family val="2"/>
    </font>
    <font>
      <sz val="9"/>
      <color theme="1"/>
      <name val="Arial"/>
      <family val="2"/>
    </font>
    <font>
      <b/>
      <sz val="9"/>
      <color theme="0"/>
      <name val="Arial"/>
      <family val="2"/>
    </font>
    <font>
      <i/>
      <sz val="9"/>
      <color indexed="55"/>
      <name val="Arial"/>
      <family val="2"/>
    </font>
    <font>
      <i/>
      <sz val="9"/>
      <color rgb="FF00A44A"/>
      <name val="Arial"/>
      <family val="2"/>
    </font>
    <font>
      <b/>
      <sz val="9"/>
      <color rgb="FFFFFFFF"/>
      <name val="Arial"/>
      <family val="2"/>
    </font>
    <font>
      <b/>
      <sz val="18"/>
      <name val="Arial"/>
      <family val="2"/>
    </font>
    <font>
      <sz val="9"/>
      <color rgb="FFFFFFFF"/>
      <name val="Arial"/>
      <family val="2"/>
    </font>
    <font>
      <i/>
      <sz val="9"/>
      <name val="Calibri"/>
      <family val="2"/>
    </font>
    <font>
      <u/>
      <sz val="9"/>
      <color theme="10"/>
      <name val="Arial"/>
      <family val="2"/>
    </font>
    <font>
      <sz val="7"/>
      <color rgb="FF000000"/>
      <name val="Segoe UI"/>
      <family val="2"/>
    </font>
    <font>
      <vertAlign val="superscript"/>
      <sz val="9"/>
      <name val="Arial"/>
      <family val="2"/>
    </font>
    <font>
      <b/>
      <sz val="9"/>
      <color rgb="FF00B050"/>
      <name val="Arial"/>
      <family val="2"/>
    </font>
    <font>
      <sz val="9"/>
      <color rgb="FFFF0000"/>
      <name val="Arial"/>
      <family val="2"/>
    </font>
    <font>
      <i/>
      <sz val="9"/>
      <color theme="0" tint="-0.14999847407452621"/>
      <name val="Arial"/>
      <family val="2"/>
    </font>
    <font>
      <i/>
      <sz val="9"/>
      <color rgb="FF00B050"/>
      <name val="Arial"/>
      <family val="2"/>
    </font>
    <font>
      <b/>
      <sz val="9"/>
      <color rgb="FFFF0000"/>
      <name val="Arial"/>
      <family val="2"/>
    </font>
    <font>
      <sz val="9"/>
      <name val="Calibri"/>
      <family val="2"/>
    </font>
    <font>
      <sz val="7.65"/>
      <name val="Arial"/>
      <family val="2"/>
    </font>
    <font>
      <sz val="9"/>
      <color rgb="FF090141"/>
      <name val="Arial"/>
      <family val="2"/>
    </font>
    <font>
      <sz val="9"/>
      <color theme="0"/>
      <name val="Arial"/>
      <family val="2"/>
    </font>
    <font>
      <b/>
      <sz val="11"/>
      <color rgb="FF000000"/>
      <name val="Calibri"/>
      <family val="2"/>
    </font>
    <font>
      <sz val="11"/>
      <color rgb="FF000000"/>
      <name val="Calibri"/>
      <family val="2"/>
    </font>
    <font>
      <b/>
      <sz val="9"/>
      <color indexed="81"/>
      <name val="Tahoma"/>
      <family val="2"/>
    </font>
    <font>
      <sz val="9"/>
      <color rgb="FF7F7F7F"/>
      <name val="Calibri"/>
      <family val="2"/>
      <scheme val="minor"/>
    </font>
    <font>
      <b/>
      <sz val="9"/>
      <color rgb="FF7F7F7F"/>
      <name val="Calibri"/>
      <family val="2"/>
      <scheme val="minor"/>
    </font>
    <font>
      <b/>
      <sz val="9"/>
      <color rgb="FF000000"/>
      <name val="Tahoma"/>
      <family val="2"/>
    </font>
    <font>
      <sz val="9"/>
      <color rgb="FF000000"/>
      <name val="Tahoma"/>
      <family val="2"/>
    </font>
    <font>
      <sz val="9"/>
      <color indexed="81"/>
      <name val="Tahoma"/>
      <family val="2"/>
    </font>
    <font>
      <sz val="12"/>
      <name val="Segoe UI"/>
      <family val="2"/>
    </font>
    <font>
      <b/>
      <sz val="22"/>
      <color theme="0"/>
      <name val="Arial"/>
      <family val="2"/>
    </font>
    <font>
      <b/>
      <sz val="9"/>
      <color theme="1"/>
      <name val="Arial"/>
      <family val="2"/>
    </font>
    <font>
      <i/>
      <sz val="11"/>
      <color theme="0" tint="-0.249977111117893"/>
      <name val="Calibri"/>
      <family val="2"/>
      <scheme val="minor"/>
    </font>
    <font>
      <b/>
      <i/>
      <sz val="9"/>
      <name val="Arial"/>
      <family val="2"/>
    </font>
    <font>
      <sz val="10"/>
      <name val="Arial"/>
      <family val="2"/>
    </font>
    <font>
      <b/>
      <sz val="16"/>
      <color theme="0"/>
      <name val="Arial"/>
      <family val="2"/>
    </font>
    <font>
      <sz val="18"/>
      <color theme="0"/>
      <name val="Arial"/>
      <family val="2"/>
    </font>
    <font>
      <b/>
      <sz val="16"/>
      <name val="Arial"/>
      <family val="2"/>
    </font>
    <font>
      <b/>
      <sz val="12"/>
      <color theme="0"/>
      <name val="Arial"/>
      <family val="2"/>
    </font>
    <font>
      <b/>
      <sz val="11"/>
      <color theme="0"/>
      <name val="Arial"/>
      <family val="2"/>
    </font>
    <font>
      <b/>
      <sz val="11"/>
      <color rgb="FFFFFFFF"/>
      <name val="Arial"/>
      <family val="2"/>
    </font>
    <font>
      <b/>
      <sz val="16"/>
      <color rgb="FFFFFFFF"/>
      <name val="Arial"/>
      <family val="2"/>
    </font>
    <font>
      <i/>
      <sz val="9"/>
      <color theme="0" tint="-0.34998626667073579"/>
      <name val="Calibri"/>
      <family val="2"/>
    </font>
    <font>
      <i/>
      <sz val="9"/>
      <color theme="1"/>
      <name val="Arial"/>
      <family val="2"/>
    </font>
    <font>
      <i/>
      <sz val="11"/>
      <color theme="2" tint="-0.249977111117893"/>
      <name val="Calibri"/>
      <family val="2"/>
      <scheme val="minor"/>
    </font>
    <font>
      <sz val="12"/>
      <name val="Arial"/>
      <family val="2"/>
    </font>
    <font>
      <i/>
      <sz val="9"/>
      <color theme="0" tint="-4.9989318521683403E-2"/>
      <name val="Arial"/>
      <family val="2"/>
    </font>
  </fonts>
  <fills count="34">
    <fill>
      <patternFill patternType="none"/>
    </fill>
    <fill>
      <patternFill patternType="gray125"/>
    </fill>
    <fill>
      <patternFill patternType="solid">
        <fgColor theme="8"/>
      </patternFill>
    </fill>
    <fill>
      <patternFill patternType="solid">
        <fgColor rgb="FFFFFF00"/>
        <bgColor indexed="64"/>
      </patternFill>
    </fill>
    <fill>
      <patternFill patternType="solid">
        <fgColor rgb="FFFFFF99"/>
        <bgColor indexed="15"/>
      </patternFill>
    </fill>
    <fill>
      <patternFill patternType="solid">
        <fgColor rgb="FFD1FFA3"/>
        <bgColor indexed="64"/>
      </patternFill>
    </fill>
    <fill>
      <patternFill patternType="solid">
        <fgColor rgb="FFB4FF3C"/>
        <bgColor indexed="64"/>
      </patternFill>
    </fill>
    <fill>
      <patternFill patternType="solid">
        <fgColor rgb="FF004C52"/>
        <bgColor indexed="64"/>
      </patternFill>
    </fill>
    <fill>
      <patternFill patternType="solid">
        <fgColor theme="3" tint="0.89996032593768116"/>
        <bgColor indexed="64"/>
      </patternFill>
    </fill>
    <fill>
      <patternFill patternType="solid">
        <fgColor rgb="FF00B050"/>
        <bgColor rgb="FF221F72"/>
      </patternFill>
    </fill>
    <fill>
      <patternFill patternType="solid">
        <fgColor indexed="22"/>
        <bgColor indexed="64"/>
      </patternFill>
    </fill>
    <fill>
      <patternFill patternType="solid">
        <fgColor rgb="FF00B050"/>
        <bgColor indexed="64"/>
      </patternFill>
    </fill>
    <fill>
      <patternFill patternType="solid">
        <fgColor rgb="FFB0EEC5"/>
        <bgColor indexed="64"/>
      </patternFill>
    </fill>
    <fill>
      <patternFill patternType="solid">
        <fgColor indexed="41"/>
        <bgColor indexed="64"/>
      </patternFill>
    </fill>
    <fill>
      <patternFill patternType="solid">
        <fgColor theme="0"/>
        <bgColor indexed="64"/>
      </patternFill>
    </fill>
    <fill>
      <patternFill patternType="solid">
        <fgColor rgb="FF00FF00"/>
        <bgColor indexed="64"/>
      </patternFill>
    </fill>
    <fill>
      <patternFill patternType="solid">
        <fgColor theme="0"/>
        <bgColor indexed="15"/>
      </patternFill>
    </fill>
    <fill>
      <patternFill patternType="solid">
        <fgColor theme="0"/>
        <bgColor rgb="FF221F72"/>
      </patternFill>
    </fill>
    <fill>
      <patternFill patternType="solid">
        <fgColor rgb="FFD0FFD0"/>
        <bgColor indexed="64"/>
      </patternFill>
    </fill>
    <fill>
      <patternFill patternType="solid">
        <fgColor theme="0" tint="-0.249977111117893"/>
        <bgColor indexed="64"/>
      </patternFill>
    </fill>
    <fill>
      <patternFill patternType="solid">
        <fgColor theme="3" tint="0.89999084444715716"/>
        <bgColor indexed="64"/>
      </patternFill>
    </fill>
    <fill>
      <patternFill patternType="solid">
        <fgColor rgb="FFFFFF99"/>
        <bgColor indexed="64"/>
      </patternFill>
    </fill>
    <fill>
      <patternFill patternType="solid">
        <fgColor rgb="FF221F72"/>
        <bgColor indexed="64"/>
      </patternFill>
    </fill>
    <fill>
      <patternFill patternType="solid">
        <fgColor rgb="FF002060"/>
        <bgColor indexed="64"/>
      </patternFill>
    </fill>
    <fill>
      <patternFill patternType="solid">
        <fgColor rgb="FF221F72"/>
        <bgColor rgb="FF221F72"/>
      </patternFill>
    </fill>
    <fill>
      <patternFill patternType="solid">
        <fgColor theme="4"/>
        <bgColor indexed="64"/>
      </patternFill>
    </fill>
    <fill>
      <patternFill patternType="solid">
        <fgColor rgb="FFC4D0E9"/>
        <bgColor indexed="64"/>
      </patternFill>
    </fill>
    <fill>
      <patternFill patternType="solid">
        <fgColor theme="3" tint="0.499984740745262"/>
        <bgColor rgb="FF221F72"/>
      </patternFill>
    </fill>
    <fill>
      <patternFill patternType="solid">
        <fgColor theme="5" tint="0.39997558519241921"/>
        <bgColor indexed="64"/>
      </patternFill>
    </fill>
    <fill>
      <patternFill patternType="solid">
        <fgColor theme="9" tint="-0.249977111117893"/>
        <bgColor indexed="64"/>
      </patternFill>
    </fill>
    <fill>
      <patternFill patternType="solid">
        <fgColor rgb="FFFFFAB3"/>
        <bgColor indexed="15"/>
      </patternFill>
    </fill>
    <fill>
      <patternFill patternType="solid">
        <fgColor theme="9" tint="0.79998168889431442"/>
        <bgColor indexed="64"/>
      </patternFill>
    </fill>
    <fill>
      <patternFill patternType="solid">
        <fgColor rgb="FFFF66CC"/>
        <bgColor indexed="64"/>
      </patternFill>
    </fill>
    <fill>
      <patternFill patternType="solid">
        <fgColor rgb="FFFD6BE5"/>
        <bgColor indexed="64"/>
      </patternFill>
    </fill>
  </fills>
  <borders count="68">
    <border>
      <left/>
      <right/>
      <top/>
      <bottom/>
      <diagonal/>
    </border>
    <border>
      <left/>
      <right/>
      <top style="thin">
        <color indexed="8"/>
      </top>
      <bottom/>
      <diagonal/>
    </border>
    <border>
      <left/>
      <right/>
      <top style="thin">
        <color rgb="FFC4D0E9"/>
      </top>
      <bottom/>
      <diagonal/>
    </border>
    <border>
      <left/>
      <right/>
      <top/>
      <bottom style="thin">
        <color indexed="8"/>
      </bottom>
      <diagonal/>
    </border>
    <border>
      <left style="thin">
        <color rgb="FF0000FF"/>
      </left>
      <right style="thin">
        <color rgb="FF0000FF"/>
      </right>
      <top style="thin">
        <color rgb="FF0000FF"/>
      </top>
      <bottom style="thin">
        <color rgb="FF0000FF"/>
      </bottom>
      <diagonal/>
    </border>
    <border>
      <left style="thin">
        <color rgb="FFFF0000"/>
      </left>
      <right style="thin">
        <color rgb="FFFF0000"/>
      </right>
      <top style="thin">
        <color rgb="FFFF0000"/>
      </top>
      <bottom style="thin">
        <color rgb="FFFF0000"/>
      </bottom>
      <diagonal/>
    </border>
    <border>
      <left style="dotted">
        <color theme="1"/>
      </left>
      <right style="dotted">
        <color theme="1"/>
      </right>
      <top style="dotted">
        <color theme="1"/>
      </top>
      <bottom style="dotted">
        <color theme="1"/>
      </bottom>
      <diagonal/>
    </border>
    <border>
      <left/>
      <right/>
      <top style="medium">
        <color rgb="FF33CC33"/>
      </top>
      <bottom/>
      <diagonal/>
    </border>
    <border>
      <left/>
      <right/>
      <top style="medium">
        <color rgb="FF33CC33"/>
      </top>
      <bottom style="medium">
        <color rgb="FF33CC33"/>
      </bottom>
      <diagonal/>
    </border>
    <border>
      <left style="thin">
        <color rgb="FF00C000"/>
      </left>
      <right/>
      <top style="thin">
        <color rgb="FF00C000"/>
      </top>
      <bottom style="thin">
        <color rgb="FF00C000"/>
      </bottom>
      <diagonal/>
    </border>
    <border>
      <left style="thin">
        <color rgb="FF00C000"/>
      </left>
      <right style="thin">
        <color rgb="FF00C000"/>
      </right>
      <top style="thin">
        <color rgb="FF00C000"/>
      </top>
      <bottom style="thin">
        <color rgb="FF00C000"/>
      </bottom>
      <diagonal/>
    </border>
    <border>
      <left style="dotted">
        <color theme="1"/>
      </left>
      <right/>
      <top/>
      <bottom/>
      <diagonal/>
    </border>
    <border>
      <left style="thin">
        <color rgb="FF0000FF"/>
      </left>
      <right/>
      <top/>
      <bottom/>
      <diagonal/>
    </border>
    <border>
      <left style="dotted">
        <color rgb="FF00C000"/>
      </left>
      <right style="dotted">
        <color rgb="FF00C000"/>
      </right>
      <top style="dotted">
        <color rgb="FF00C000"/>
      </top>
      <bottom style="dotted">
        <color rgb="FF00C000"/>
      </bottom>
      <diagonal/>
    </border>
    <border>
      <left/>
      <right/>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right style="thin">
        <color theme="0"/>
      </right>
      <top style="thin">
        <color theme="0"/>
      </top>
      <bottom style="dotted">
        <color rgb="FF00C000"/>
      </bottom>
      <diagonal/>
    </border>
    <border>
      <left style="dotted">
        <color theme="1"/>
      </left>
      <right style="dotted">
        <color theme="1"/>
      </right>
      <top style="dotted">
        <color theme="1"/>
      </top>
      <bottom/>
      <diagonal/>
    </border>
    <border>
      <left style="thin">
        <color rgb="FF7030A0"/>
      </left>
      <right/>
      <top/>
      <bottom/>
      <diagonal/>
    </border>
    <border>
      <left/>
      <right style="thin">
        <color theme="0"/>
      </right>
      <top/>
      <bottom style="thin">
        <color rgb="FF0000FF"/>
      </bottom>
      <diagonal/>
    </border>
    <border>
      <left/>
      <right/>
      <top style="thin">
        <color rgb="FFFF0000"/>
      </top>
      <bottom/>
      <diagonal/>
    </border>
    <border>
      <left style="thin">
        <color indexed="57"/>
      </left>
      <right style="thin">
        <color indexed="57"/>
      </right>
      <top style="thin">
        <color indexed="57"/>
      </top>
      <bottom style="thin">
        <color indexed="57"/>
      </bottom>
      <diagonal/>
    </border>
    <border>
      <left style="thin">
        <color rgb="FFFF0000"/>
      </left>
      <right/>
      <top style="thin">
        <color rgb="FFFF0000"/>
      </top>
      <bottom style="thin">
        <color rgb="FFFF0000"/>
      </bottom>
      <diagonal/>
    </border>
    <border>
      <left/>
      <right style="thin">
        <color theme="0"/>
      </right>
      <top/>
      <bottom/>
      <diagonal/>
    </border>
    <border>
      <left/>
      <right/>
      <top style="dotted">
        <color theme="1"/>
      </top>
      <bottom/>
      <diagonal/>
    </border>
    <border>
      <left/>
      <right/>
      <top style="dotted">
        <color theme="1"/>
      </top>
      <bottom style="dotted">
        <color theme="1"/>
      </bottom>
      <diagonal/>
    </border>
    <border>
      <left style="thin">
        <color theme="0"/>
      </left>
      <right style="thin">
        <color theme="0"/>
      </right>
      <top style="thin">
        <color theme="0"/>
      </top>
      <bottom style="thin">
        <color theme="0"/>
      </bottom>
      <diagonal/>
    </border>
    <border>
      <left/>
      <right/>
      <top style="dotted">
        <color rgb="FF00C000"/>
      </top>
      <bottom/>
      <diagonal/>
    </border>
    <border>
      <left/>
      <right style="thin">
        <color rgb="FF00B050"/>
      </right>
      <top/>
      <bottom/>
      <diagonal/>
    </border>
    <border>
      <left style="thin">
        <color rgb="FF00B050"/>
      </left>
      <right/>
      <top/>
      <bottom/>
      <diagonal/>
    </border>
    <border>
      <left style="thin">
        <color theme="0"/>
      </left>
      <right style="thin">
        <color theme="0"/>
      </right>
      <top/>
      <bottom style="thin">
        <color theme="0"/>
      </bottom>
      <diagonal/>
    </border>
    <border>
      <left style="thin">
        <color rgb="FF00CC00"/>
      </left>
      <right style="thin">
        <color rgb="FF00CC00"/>
      </right>
      <top style="thin">
        <color rgb="FF00CC00"/>
      </top>
      <bottom style="thin">
        <color rgb="FF00C000"/>
      </bottom>
      <diagonal/>
    </border>
    <border>
      <left style="thin">
        <color rgb="FF00CC00"/>
      </left>
      <right/>
      <top style="thin">
        <color rgb="FF00CC00"/>
      </top>
      <bottom style="thin">
        <color rgb="FF00CC00"/>
      </bottom>
      <diagonal/>
    </border>
    <border>
      <left/>
      <right/>
      <top style="thin">
        <color rgb="FF00CC00"/>
      </top>
      <bottom style="thin">
        <color rgb="FF00CC00"/>
      </bottom>
      <diagonal/>
    </border>
    <border>
      <left/>
      <right style="thin">
        <color rgb="FF00CC00"/>
      </right>
      <top style="thin">
        <color rgb="FF00CC00"/>
      </top>
      <bottom style="thin">
        <color rgb="FF00CC00"/>
      </bottom>
      <diagonal/>
    </border>
    <border>
      <left style="thin">
        <color rgb="FF00C000"/>
      </left>
      <right style="thin">
        <color rgb="FF00C000"/>
      </right>
      <top/>
      <bottom style="thin">
        <color rgb="FF00C000"/>
      </bottom>
      <diagonal/>
    </border>
    <border>
      <left style="thin">
        <color rgb="FF00C000"/>
      </left>
      <right/>
      <top/>
      <bottom style="thin">
        <color rgb="FF00C000"/>
      </bottom>
      <diagonal/>
    </border>
    <border>
      <left/>
      <right/>
      <top/>
      <bottom style="thin">
        <color rgb="FF0000FF"/>
      </bottom>
      <diagonal/>
    </border>
    <border>
      <left/>
      <right style="thin">
        <color theme="0"/>
      </right>
      <top/>
      <bottom style="thin">
        <color theme="0"/>
      </bottom>
      <diagonal/>
    </border>
    <border>
      <left style="thin">
        <color theme="0"/>
      </left>
      <right/>
      <top/>
      <bottom style="thin">
        <color theme="0"/>
      </bottom>
      <diagonal/>
    </border>
    <border>
      <left style="thin">
        <color theme="0"/>
      </left>
      <right/>
      <top style="thin">
        <color theme="0"/>
      </top>
      <bottom style="thin">
        <color rgb="FF00C000"/>
      </bottom>
      <diagonal/>
    </border>
    <border>
      <left/>
      <right style="thin">
        <color theme="0"/>
      </right>
      <top style="thin">
        <color theme="0"/>
      </top>
      <bottom style="thin">
        <color rgb="FF00C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rgb="FF7030A0"/>
      </bottom>
      <diagonal/>
    </border>
    <border>
      <left style="thin">
        <color rgb="FF7030A0"/>
      </left>
      <right/>
      <top style="thin">
        <color rgb="FF7030A0"/>
      </top>
      <bottom/>
      <diagonal/>
    </border>
    <border>
      <left/>
      <right/>
      <top style="thin">
        <color rgb="FF7030A0"/>
      </top>
      <bottom/>
      <diagonal/>
    </border>
    <border>
      <left/>
      <right/>
      <top/>
      <bottom style="thin">
        <color indexed="64"/>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right/>
      <top style="thin">
        <color indexed="64"/>
      </top>
      <bottom/>
      <diagonal/>
    </border>
    <border>
      <left/>
      <right style="thin">
        <color auto="1"/>
      </right>
      <top style="thin">
        <color indexed="64"/>
      </top>
      <bottom/>
      <diagonal/>
    </border>
    <border>
      <left style="thin">
        <color theme="0"/>
      </left>
      <right style="thin">
        <color theme="0"/>
      </right>
      <top/>
      <bottom style="thin">
        <color rgb="FF00C000"/>
      </bottom>
      <diagonal/>
    </border>
    <border>
      <left/>
      <right style="thin">
        <color theme="0"/>
      </right>
      <top/>
      <bottom style="thin">
        <color rgb="FF00C000"/>
      </bottom>
      <diagonal/>
    </border>
    <border>
      <left style="thin">
        <color theme="0"/>
      </left>
      <right/>
      <top/>
      <bottom style="thin">
        <color rgb="FF00C000"/>
      </bottom>
      <diagonal/>
    </border>
    <border>
      <left style="thin">
        <color rgb="FF00CC00"/>
      </left>
      <right style="thin">
        <color rgb="FF00CC00"/>
      </right>
      <top/>
      <bottom style="thin">
        <color rgb="FF00CC00"/>
      </bottom>
      <diagonal/>
    </border>
    <border>
      <left style="thin">
        <color rgb="FF00CC00"/>
      </left>
      <right style="thin">
        <color rgb="FF00CC00"/>
      </right>
      <top style="thin">
        <color rgb="FF00CC00"/>
      </top>
      <bottom style="thin">
        <color rgb="FF00CC00"/>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indexed="64"/>
      </left>
      <right style="thin">
        <color indexed="64"/>
      </right>
      <top style="thin">
        <color indexed="64"/>
      </top>
      <bottom style="thin">
        <color indexed="64"/>
      </bottom>
      <diagonal/>
    </border>
    <border>
      <left/>
      <right/>
      <top/>
      <bottom style="thin">
        <color rgb="FF00C000"/>
      </bottom>
      <diagonal/>
    </border>
    <border>
      <left style="thin">
        <color theme="0"/>
      </left>
      <right style="thin">
        <color theme="0"/>
      </right>
      <top style="thin">
        <color theme="0"/>
      </top>
      <bottom/>
      <diagonal/>
    </border>
    <border>
      <left style="thin">
        <color theme="0"/>
      </left>
      <right style="thin">
        <color theme="0"/>
      </right>
      <top style="thin">
        <color theme="0"/>
      </top>
      <bottom style="thin">
        <color rgb="FF00C000"/>
      </bottom>
      <diagonal/>
    </border>
    <border>
      <left style="thin">
        <color rgb="FF7030A0"/>
      </left>
      <right style="thin">
        <color rgb="FF7030A0"/>
      </right>
      <top style="thin">
        <color rgb="FF7030A0"/>
      </top>
      <bottom style="thin">
        <color rgb="FF7030A0"/>
      </bottom>
      <diagonal/>
    </border>
    <border>
      <left/>
      <right/>
      <top style="thin">
        <color theme="0"/>
      </top>
      <bottom style="thin">
        <color rgb="FF00C000"/>
      </bottom>
      <diagonal/>
    </border>
  </borders>
  <cellStyleXfs count="72">
    <xf numFmtId="0" fontId="0" fillId="0" borderId="0">
      <alignment vertical="center"/>
    </xf>
    <xf numFmtId="43" fontId="4" fillId="0" borderId="0" applyFont="0" applyFill="0" applyBorder="0" applyAlignment="0" applyProtection="0"/>
    <xf numFmtId="171" fontId="4" fillId="0" borderId="0" applyFont="0" applyFill="0" applyBorder="0" applyAlignment="0" applyProtection="0">
      <alignment vertical="center"/>
    </xf>
    <xf numFmtId="9" fontId="4" fillId="0" borderId="0" applyFont="0" applyFill="0" applyBorder="0" applyAlignment="0" applyProtection="0"/>
    <xf numFmtId="0" fontId="7" fillId="8" borderId="0" applyNumberFormat="0" applyAlignment="0" applyProtection="0">
      <alignment vertical="center"/>
    </xf>
    <xf numFmtId="0" fontId="4" fillId="0" borderId="0" applyNumberFormat="0" applyAlignment="0">
      <alignment vertical="center"/>
    </xf>
    <xf numFmtId="0" fontId="10" fillId="0" borderId="0" applyNumberFormat="0" applyFill="0" applyBorder="0" applyAlignment="0" applyProtection="0">
      <alignment vertical="center"/>
    </xf>
    <xf numFmtId="0" fontId="2" fillId="0" borderId="0" applyNumberFormat="0" applyFill="0" applyBorder="0" applyAlignment="0" applyProtection="0"/>
    <xf numFmtId="165" fontId="7" fillId="0" borderId="0" applyNumberFormat="0" applyFill="0" applyBorder="0" applyAlignment="0" applyProtection="0">
      <alignment vertical="center"/>
    </xf>
    <xf numFmtId="0" fontId="3" fillId="2" borderId="0" applyNumberFormat="0" applyBorder="0" applyAlignment="0" applyProtection="0"/>
    <xf numFmtId="0" fontId="5" fillId="0" borderId="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lignment horizontal="left" vertical="center" wrapText="1"/>
    </xf>
    <xf numFmtId="49" fontId="4" fillId="0" borderId="0" applyFont="0" applyFill="0" applyBorder="0" applyAlignment="0" applyProtection="0">
      <alignment horizontal="center" vertical="center"/>
    </xf>
    <xf numFmtId="0" fontId="8" fillId="0" borderId="0" applyNumberFormat="0" applyFill="0" applyBorder="0" applyAlignment="0" applyProtection="0">
      <alignment horizontal="left" vertical="center"/>
    </xf>
    <xf numFmtId="164" fontId="4" fillId="0" borderId="0" applyFont="0" applyFill="0" applyBorder="0" applyAlignment="0" applyProtection="0">
      <alignment vertical="center"/>
    </xf>
    <xf numFmtId="0" fontId="4" fillId="3" borderId="0" applyNumberFormat="0" applyFont="0" applyBorder="0" applyAlignment="0" applyProtection="0">
      <alignment vertical="center"/>
    </xf>
    <xf numFmtId="0" fontId="4" fillId="0" borderId="4" applyNumberFormat="0" applyAlignment="0">
      <alignment vertical="center"/>
      <protection locked="0"/>
    </xf>
    <xf numFmtId="0" fontId="4" fillId="0" borderId="0" applyNumberFormat="0" applyFont="0" applyBorder="0" applyAlignment="0" applyProtection="0">
      <alignment vertical="center"/>
    </xf>
    <xf numFmtId="0" fontId="4" fillId="0" borderId="0" applyNumberFormat="0" applyFill="0" applyBorder="0">
      <alignment horizontal="left" vertical="center" wrapText="1" indent="1"/>
    </xf>
    <xf numFmtId="166" fontId="4" fillId="0" borderId="0" applyFont="0" applyFill="0" applyBorder="0" applyAlignment="0" applyProtection="0">
      <alignment vertical="center"/>
    </xf>
    <xf numFmtId="0" fontId="4" fillId="0" borderId="5" applyNumberFormat="0" applyAlignment="0">
      <alignment vertical="center"/>
      <protection locked="0"/>
    </xf>
    <xf numFmtId="165" fontId="13" fillId="4" borderId="6" applyNumberFormat="0" applyAlignment="0">
      <alignment vertical="center"/>
      <protection locked="0"/>
    </xf>
    <xf numFmtId="0" fontId="4" fillId="0" borderId="6" applyNumberFormat="0" applyFill="0" applyAlignment="0" applyProtection="0">
      <alignment vertical="center"/>
      <protection locked="0"/>
    </xf>
    <xf numFmtId="0" fontId="4" fillId="5" borderId="0" applyNumberFormat="0" applyAlignment="0">
      <alignment vertical="center"/>
    </xf>
    <xf numFmtId="0" fontId="4" fillId="6" borderId="0" applyNumberFormat="0" applyAlignment="0">
      <alignment vertical="center"/>
    </xf>
    <xf numFmtId="0" fontId="14" fillId="7" borderId="0" applyNumberFormat="0" applyAlignment="0">
      <alignment vertical="center"/>
    </xf>
    <xf numFmtId="167" fontId="15" fillId="0" borderId="0" applyNumberFormat="0" applyAlignment="0">
      <alignment vertical="center"/>
    </xf>
    <xf numFmtId="0" fontId="16" fillId="0" borderId="0" applyNumberFormat="0" applyAlignment="0">
      <alignment vertical="center"/>
    </xf>
    <xf numFmtId="0" fontId="17" fillId="9" borderId="0" applyNumberFormat="0">
      <alignment horizontal="center" vertical="top" wrapText="1"/>
    </xf>
    <xf numFmtId="168" fontId="4" fillId="0" borderId="0" applyFont="0" applyFill="0" applyBorder="0" applyAlignment="0" applyProtection="0">
      <alignment vertical="center"/>
    </xf>
    <xf numFmtId="165" fontId="4" fillId="0" borderId="0" applyNumberFormat="0" applyFont="0" applyBorder="0" applyAlignment="0" applyProtection="0">
      <alignment vertical="center"/>
    </xf>
    <xf numFmtId="172" fontId="4" fillId="0" borderId="0" applyFont="0" applyFill="0" applyBorder="0" applyAlignment="0" applyProtection="0">
      <alignment vertical="center"/>
    </xf>
    <xf numFmtId="0" fontId="4" fillId="10" borderId="0" applyNumberFormat="0" applyFont="0" applyBorder="0" applyAlignment="0" applyProtection="0">
      <alignment vertical="center"/>
    </xf>
    <xf numFmtId="173" fontId="4" fillId="0" borderId="0" applyFont="0" applyFill="0" applyBorder="0" applyAlignment="0" applyProtection="0">
      <alignment horizontal="right" vertical="center"/>
    </xf>
    <xf numFmtId="174" fontId="4" fillId="0" borderId="0" applyFont="0" applyFill="0" applyBorder="0" applyAlignment="0" applyProtection="0">
      <alignment vertical="center"/>
    </xf>
    <xf numFmtId="165" fontId="4" fillId="0" borderId="7" applyNumberFormat="0" applyFont="0" applyFill="0" applyAlignment="0" applyProtection="0">
      <alignment vertical="center"/>
    </xf>
    <xf numFmtId="175" fontId="4" fillId="0" borderId="0" applyFont="0" applyFill="0" applyBorder="0" applyAlignment="0" applyProtection="0">
      <alignment vertical="center"/>
    </xf>
    <xf numFmtId="176" fontId="4" fillId="0" borderId="0" applyFont="0" applyFill="0" applyBorder="0" applyAlignment="0" applyProtection="0">
      <alignment vertical="center"/>
    </xf>
    <xf numFmtId="177" fontId="4" fillId="0" borderId="0" applyFont="0" applyFill="0" applyBorder="0" applyAlignment="0" applyProtection="0">
      <alignment vertical="center"/>
    </xf>
    <xf numFmtId="178" fontId="4" fillId="0" borderId="0" applyFont="0" applyFill="0" applyBorder="0" applyAlignment="0" applyProtection="0">
      <alignment vertical="center"/>
    </xf>
    <xf numFmtId="179" fontId="4" fillId="0" borderId="0" applyFont="0" applyFill="0" applyBorder="0" applyAlignment="0" applyProtection="0">
      <alignment vertical="center"/>
    </xf>
    <xf numFmtId="180" fontId="4" fillId="0" borderId="0" applyFont="0" applyFill="0" applyBorder="0" applyAlignment="0" applyProtection="0">
      <alignment vertical="center"/>
    </xf>
    <xf numFmtId="181" fontId="4" fillId="0" borderId="0" applyFont="0" applyFill="0" applyBorder="0" applyAlignment="0" applyProtection="0">
      <alignment vertical="center"/>
    </xf>
    <xf numFmtId="182" fontId="4" fillId="0" borderId="0" applyFont="0" applyFill="0" applyBorder="0" applyAlignment="0" applyProtection="0">
      <alignment vertical="center"/>
    </xf>
    <xf numFmtId="183" fontId="4" fillId="0" borderId="0" applyFont="0" applyFill="0" applyBorder="0" applyAlignment="0" applyProtection="0">
      <alignment vertical="center"/>
    </xf>
    <xf numFmtId="184" fontId="4" fillId="0" borderId="0" applyFont="0" applyFill="0" applyBorder="0" applyAlignment="0" applyProtection="0">
      <alignment vertical="center"/>
    </xf>
    <xf numFmtId="185" fontId="4" fillId="0" borderId="0" applyFont="0" applyFill="0" applyBorder="0" applyAlignment="0" applyProtection="0">
      <alignment vertical="center"/>
    </xf>
    <xf numFmtId="186" fontId="4" fillId="0" borderId="0" applyFont="0" applyFill="0" applyBorder="0" applyAlignment="0" applyProtection="0">
      <alignment vertical="center"/>
    </xf>
    <xf numFmtId="187" fontId="4" fillId="0" borderId="0" applyFont="0" applyFill="0" applyBorder="0" applyAlignment="0" applyProtection="0">
      <alignment vertical="center"/>
    </xf>
    <xf numFmtId="188" fontId="4" fillId="0" borderId="0" applyFont="0" applyFill="0" applyBorder="0" applyAlignment="0" applyProtection="0">
      <alignment vertical="center"/>
    </xf>
    <xf numFmtId="0" fontId="18" fillId="0" borderId="0" applyFill="0" applyBorder="0" applyAlignment="0" applyProtection="0">
      <alignment vertical="center"/>
    </xf>
    <xf numFmtId="0" fontId="7" fillId="0" borderId="0" applyNumberFormat="0" applyFill="0" applyBorder="0" applyAlignment="0" applyProtection="0">
      <alignment vertical="center"/>
    </xf>
    <xf numFmtId="0" fontId="17" fillId="11" borderId="0" applyNumberFormat="0">
      <alignment horizontal="left" vertical="top" wrapText="1"/>
    </xf>
    <xf numFmtId="0" fontId="17" fillId="11" borderId="0" applyNumberFormat="0">
      <alignment horizontal="centerContinuous" vertical="top"/>
    </xf>
    <xf numFmtId="0" fontId="19" fillId="11" borderId="0" applyNumberFormat="0">
      <alignment horizontal="center" vertical="top" wrapText="1"/>
    </xf>
    <xf numFmtId="165" fontId="7" fillId="0" borderId="8" applyNumberFormat="0" applyFill="0" applyAlignment="0" applyProtection="0">
      <alignment vertical="center"/>
    </xf>
    <xf numFmtId="165" fontId="7" fillId="12" borderId="0" applyNumberFormat="0" applyAlignment="0" applyProtection="0">
      <alignment vertical="center"/>
    </xf>
    <xf numFmtId="0" fontId="5" fillId="13" borderId="0" applyNumberFormat="0">
      <alignment vertical="center"/>
    </xf>
    <xf numFmtId="0" fontId="4" fillId="0" borderId="10" applyNumberFormat="0" applyAlignment="0">
      <alignment vertical="center"/>
      <protection locked="0"/>
    </xf>
    <xf numFmtId="0" fontId="21" fillId="0" borderId="0" applyNumberFormat="0" applyFill="0" applyBorder="0" applyAlignment="0" applyProtection="0">
      <alignment vertical="center"/>
    </xf>
    <xf numFmtId="0" fontId="4" fillId="0" borderId="5" applyNumberFormat="0" applyAlignment="0">
      <alignment vertical="center"/>
      <protection locked="0"/>
    </xf>
    <xf numFmtId="0" fontId="4" fillId="15" borderId="0" applyNumberFormat="0" applyAlignment="0">
      <alignment vertical="center"/>
    </xf>
    <xf numFmtId="0" fontId="4" fillId="18" borderId="0" applyNumberFormat="0" applyAlignment="0">
      <alignment vertical="center"/>
    </xf>
    <xf numFmtId="0" fontId="4" fillId="0" borderId="4" applyNumberFormat="0" applyAlignment="0">
      <alignment vertical="center"/>
      <protection locked="0"/>
    </xf>
    <xf numFmtId="0" fontId="4" fillId="0" borderId="22" applyNumberFormat="0" applyAlignment="0">
      <alignment vertical="center"/>
      <protection locked="0"/>
    </xf>
    <xf numFmtId="0" fontId="4" fillId="0" borderId="5" applyNumberFormat="0" applyAlignment="0">
      <alignment vertical="center"/>
      <protection locked="0"/>
    </xf>
    <xf numFmtId="0" fontId="4" fillId="10" borderId="0" applyNumberFormat="0" applyFont="0" applyBorder="0" applyAlignment="0" applyProtection="0">
      <alignment vertical="center"/>
    </xf>
    <xf numFmtId="0" fontId="17" fillId="22" borderId="0" applyNumberFormat="0">
      <alignment horizontal="centerContinuous" vertical="top"/>
    </xf>
    <xf numFmtId="0" fontId="17" fillId="24" borderId="0" applyNumberFormat="0">
      <alignment horizontal="center" vertical="top" wrapText="1"/>
    </xf>
    <xf numFmtId="165" fontId="7" fillId="26" borderId="0" applyNumberFormat="0" applyAlignment="0" applyProtection="0">
      <alignment vertical="center"/>
    </xf>
    <xf numFmtId="165" fontId="4" fillId="30" borderId="10" applyNumberFormat="0" applyAlignment="0">
      <alignment vertical="center"/>
      <protection locked="0"/>
    </xf>
  </cellStyleXfs>
  <cellXfs count="591">
    <xf numFmtId="0" fontId="0" fillId="0" borderId="0" xfId="0">
      <alignment vertical="center"/>
    </xf>
    <xf numFmtId="38" fontId="0" fillId="0" borderId="0" xfId="0" applyNumberFormat="1" applyAlignment="1">
      <alignment horizontal="center" vertical="center"/>
    </xf>
    <xf numFmtId="0" fontId="5" fillId="0" borderId="0" xfId="10" applyFill="1" applyBorder="1">
      <alignment vertical="center"/>
    </xf>
    <xf numFmtId="0" fontId="0" fillId="0" borderId="1" xfId="0" applyBorder="1">
      <alignment vertical="center"/>
    </xf>
    <xf numFmtId="0" fontId="6" fillId="0" borderId="0" xfId="11" applyFill="1" applyAlignment="1">
      <alignment horizontal="left"/>
    </xf>
    <xf numFmtId="0" fontId="7" fillId="0" borderId="0" xfId="12" applyAlignment="1">
      <alignment horizontal="left" vertical="center" wrapText="1" indent="1"/>
    </xf>
    <xf numFmtId="49" fontId="4" fillId="0" borderId="0" xfId="13" applyFont="1" applyAlignment="1">
      <alignment vertical="center"/>
    </xf>
    <xf numFmtId="49" fontId="0" fillId="0" borderId="0" xfId="13" applyFont="1" applyAlignment="1">
      <alignment vertical="center"/>
    </xf>
    <xf numFmtId="0" fontId="8" fillId="0" borderId="0" xfId="14" applyAlignment="1"/>
    <xf numFmtId="0" fontId="8" fillId="0" borderId="0" xfId="14" applyAlignment="1">
      <alignment vertical="center"/>
    </xf>
    <xf numFmtId="49" fontId="9" fillId="0" borderId="0" xfId="13" applyFont="1" applyAlignment="1">
      <alignment vertical="center"/>
    </xf>
    <xf numFmtId="0" fontId="0" fillId="0" borderId="2" xfId="0" applyBorder="1">
      <alignment vertical="center"/>
    </xf>
    <xf numFmtId="49" fontId="0" fillId="0" borderId="0" xfId="13" applyFont="1" applyBorder="1" applyAlignment="1">
      <alignment vertical="center"/>
    </xf>
    <xf numFmtId="38" fontId="0" fillId="0" borderId="3" xfId="0" applyNumberFormat="1" applyBorder="1" applyAlignment="1">
      <alignment horizontal="center" vertical="center"/>
    </xf>
    <xf numFmtId="0" fontId="5" fillId="0" borderId="3" xfId="10" applyFill="1" applyBorder="1">
      <alignment vertical="center"/>
    </xf>
    <xf numFmtId="0" fontId="6" fillId="0" borderId="0" xfId="11" applyFill="1" applyAlignment="1"/>
    <xf numFmtId="0" fontId="8" fillId="0" borderId="0" xfId="14" applyAlignment="1">
      <alignment horizontal="center"/>
    </xf>
    <xf numFmtId="49" fontId="0" fillId="0" borderId="0" xfId="13" applyFont="1" applyAlignment="1">
      <alignment horizontal="center" vertical="center"/>
    </xf>
    <xf numFmtId="164" fontId="0" fillId="0" borderId="0" xfId="15" applyFont="1" applyAlignment="1">
      <alignment horizontal="center" vertical="center"/>
    </xf>
    <xf numFmtId="0" fontId="0" fillId="0" borderId="0" xfId="0" applyAlignment="1">
      <alignment horizontal="center" vertical="center"/>
    </xf>
    <xf numFmtId="0" fontId="10" fillId="0" borderId="0" xfId="6">
      <alignment vertical="center"/>
    </xf>
    <xf numFmtId="0" fontId="6" fillId="0" borderId="0" xfId="11">
      <alignment vertical="center"/>
    </xf>
    <xf numFmtId="0" fontId="7" fillId="3" borderId="0" xfId="16" applyFont="1">
      <alignment vertical="center"/>
    </xf>
    <xf numFmtId="0" fontId="0" fillId="3" borderId="0" xfId="16" applyFont="1">
      <alignment vertical="center"/>
    </xf>
    <xf numFmtId="0" fontId="7" fillId="0" borderId="0" xfId="12">
      <alignment horizontal="left" vertical="center" wrapText="1"/>
    </xf>
    <xf numFmtId="165" fontId="4" fillId="0" borderId="4" xfId="17" applyNumberFormat="1">
      <alignment vertical="center"/>
      <protection locked="0"/>
    </xf>
    <xf numFmtId="0" fontId="0" fillId="0" borderId="0" xfId="18" applyFont="1">
      <alignment vertical="center"/>
    </xf>
    <xf numFmtId="0" fontId="4" fillId="0" borderId="0" xfId="19">
      <alignment horizontal="left" vertical="center" wrapText="1" indent="1"/>
    </xf>
    <xf numFmtId="166" fontId="0" fillId="0" borderId="0" xfId="20" applyFont="1">
      <alignment vertical="center"/>
    </xf>
    <xf numFmtId="165" fontId="4" fillId="0" borderId="5" xfId="21" applyNumberFormat="1">
      <alignment vertical="center"/>
      <protection locked="0"/>
    </xf>
    <xf numFmtId="165" fontId="13" fillId="4" borderId="6" xfId="22">
      <alignment vertical="center"/>
      <protection locked="0"/>
    </xf>
    <xf numFmtId="165" fontId="4" fillId="0" borderId="6" xfId="23" applyNumberFormat="1">
      <alignment vertical="center"/>
      <protection locked="0"/>
    </xf>
    <xf numFmtId="165" fontId="4" fillId="5" borderId="0" xfId="24" applyNumberFormat="1">
      <alignment vertical="center"/>
    </xf>
    <xf numFmtId="0" fontId="4" fillId="6" borderId="0" xfId="25">
      <alignment vertical="center"/>
    </xf>
    <xf numFmtId="165" fontId="14" fillId="7" borderId="0" xfId="26" applyNumberFormat="1">
      <alignment vertical="center"/>
    </xf>
    <xf numFmtId="165" fontId="4" fillId="0" borderId="0" xfId="5" applyNumberFormat="1">
      <alignment vertical="center"/>
    </xf>
    <xf numFmtId="165" fontId="7" fillId="0" borderId="0" xfId="8">
      <alignment vertical="center"/>
    </xf>
    <xf numFmtId="167" fontId="15" fillId="0" borderId="0" xfId="27">
      <alignment vertical="center"/>
    </xf>
    <xf numFmtId="165" fontId="7" fillId="8" borderId="0" xfId="4" applyNumberFormat="1">
      <alignment vertical="center"/>
    </xf>
    <xf numFmtId="165" fontId="16" fillId="0" borderId="0" xfId="28" applyNumberFormat="1">
      <alignment vertical="center"/>
    </xf>
    <xf numFmtId="165" fontId="10" fillId="0" borderId="0" xfId="6" applyNumberFormat="1">
      <alignment vertical="center"/>
    </xf>
    <xf numFmtId="165" fontId="4" fillId="3" borderId="0" xfId="16" applyNumberFormat="1">
      <alignment vertical="center"/>
    </xf>
    <xf numFmtId="165" fontId="4" fillId="0" borderId="0" xfId="18" applyNumberFormat="1">
      <alignment vertical="center"/>
    </xf>
    <xf numFmtId="0" fontId="17" fillId="9" borderId="0" xfId="29">
      <alignment horizontal="center" vertical="top" wrapText="1"/>
    </xf>
    <xf numFmtId="168" fontId="0" fillId="0" borderId="0" xfId="30" applyFont="1">
      <alignment vertical="center"/>
    </xf>
    <xf numFmtId="169" fontId="0" fillId="0" borderId="0" xfId="31" applyNumberFormat="1" applyFont="1">
      <alignment vertical="center"/>
    </xf>
    <xf numFmtId="170" fontId="0" fillId="0" borderId="0" xfId="31" applyNumberFormat="1" applyFont="1">
      <alignment vertical="center"/>
    </xf>
    <xf numFmtId="171" fontId="0" fillId="0" borderId="0" xfId="2" applyFont="1">
      <alignment vertical="center"/>
    </xf>
    <xf numFmtId="172" fontId="0" fillId="0" borderId="0" xfId="32" applyFont="1">
      <alignment vertical="center"/>
    </xf>
    <xf numFmtId="165" fontId="0" fillId="10" borderId="0" xfId="33" applyNumberFormat="1" applyFont="1">
      <alignment vertical="center"/>
    </xf>
    <xf numFmtId="169" fontId="0" fillId="10" borderId="0" xfId="33" applyNumberFormat="1" applyFont="1">
      <alignment vertical="center"/>
    </xf>
    <xf numFmtId="173" fontId="0" fillId="0" borderId="0" xfId="34" applyFont="1" applyAlignment="1">
      <alignment vertical="center"/>
    </xf>
    <xf numFmtId="174" fontId="0" fillId="0" borderId="0" xfId="35" applyFont="1">
      <alignment vertical="center"/>
    </xf>
    <xf numFmtId="0" fontId="0" fillId="0" borderId="7" xfId="36" applyNumberFormat="1" applyFont="1">
      <alignment vertical="center"/>
    </xf>
    <xf numFmtId="175" fontId="0" fillId="0" borderId="0" xfId="37" applyFont="1">
      <alignment vertical="center"/>
    </xf>
    <xf numFmtId="176" fontId="0" fillId="0" borderId="0" xfId="38" applyFont="1">
      <alignment vertical="center"/>
    </xf>
    <xf numFmtId="177" fontId="0" fillId="0" borderId="0" xfId="39" applyFont="1">
      <alignment vertical="center"/>
    </xf>
    <xf numFmtId="178" fontId="0" fillId="0" borderId="0" xfId="40" applyFont="1">
      <alignment vertical="center"/>
    </xf>
    <xf numFmtId="179" fontId="0" fillId="0" borderId="0" xfId="41" applyFont="1">
      <alignment vertical="center"/>
    </xf>
    <xf numFmtId="180" fontId="0" fillId="0" borderId="0" xfId="42" applyFont="1">
      <alignment vertical="center"/>
    </xf>
    <xf numFmtId="181" fontId="0" fillId="0" borderId="0" xfId="43" applyFont="1">
      <alignment vertical="center"/>
    </xf>
    <xf numFmtId="182" fontId="0" fillId="0" borderId="0" xfId="44" applyFont="1">
      <alignment vertical="center"/>
    </xf>
    <xf numFmtId="183" fontId="0" fillId="0" borderId="0" xfId="45" applyFont="1">
      <alignment vertical="center"/>
    </xf>
    <xf numFmtId="184" fontId="0" fillId="0" borderId="0" xfId="46" applyFont="1">
      <alignment vertical="center"/>
    </xf>
    <xf numFmtId="185" fontId="0" fillId="0" borderId="0" xfId="47" applyFont="1">
      <alignment vertical="center"/>
    </xf>
    <xf numFmtId="186" fontId="0" fillId="0" borderId="0" xfId="48" applyFont="1">
      <alignment vertical="center"/>
    </xf>
    <xf numFmtId="164" fontId="0" fillId="0" borderId="0" xfId="15" applyFont="1">
      <alignment vertical="center"/>
    </xf>
    <xf numFmtId="187" fontId="0" fillId="0" borderId="0" xfId="49" applyFont="1">
      <alignment vertical="center"/>
    </xf>
    <xf numFmtId="188" fontId="0" fillId="0" borderId="0" xfId="50" applyFont="1">
      <alignment vertical="center"/>
    </xf>
    <xf numFmtId="0" fontId="5" fillId="0" borderId="0" xfId="10">
      <alignment vertical="center"/>
    </xf>
    <xf numFmtId="0" fontId="18" fillId="0" borderId="0" xfId="51">
      <alignment vertical="center"/>
    </xf>
    <xf numFmtId="0" fontId="7" fillId="0" borderId="0" xfId="52">
      <alignment vertical="center"/>
    </xf>
    <xf numFmtId="0" fontId="17" fillId="11" borderId="0" xfId="53">
      <alignment horizontal="left" vertical="top" wrapText="1"/>
    </xf>
    <xf numFmtId="0" fontId="17" fillId="11" borderId="0" xfId="54">
      <alignment horizontal="centerContinuous" vertical="top"/>
    </xf>
    <xf numFmtId="0" fontId="19" fillId="11" borderId="0" xfId="55">
      <alignment horizontal="center" vertical="top" wrapText="1"/>
    </xf>
    <xf numFmtId="0" fontId="0" fillId="0" borderId="0" xfId="31" applyNumberFormat="1" applyFont="1">
      <alignment vertical="center"/>
    </xf>
    <xf numFmtId="0" fontId="0" fillId="10" borderId="0" xfId="33" applyFont="1">
      <alignment vertical="center"/>
    </xf>
    <xf numFmtId="0" fontId="7" fillId="0" borderId="8" xfId="56" applyNumberFormat="1" applyAlignment="1">
      <alignment horizontal="left" vertical="center" wrapText="1" indent="1"/>
    </xf>
    <xf numFmtId="0" fontId="7" fillId="0" borderId="8" xfId="56" applyNumberFormat="1">
      <alignment vertical="center"/>
    </xf>
    <xf numFmtId="0" fontId="7" fillId="10" borderId="8" xfId="56" applyNumberFormat="1" applyFill="1">
      <alignment vertical="center"/>
    </xf>
    <xf numFmtId="0" fontId="7" fillId="12" borderId="0" xfId="57" applyNumberFormat="1" applyAlignment="1">
      <alignment horizontal="left" vertical="center" wrapText="1"/>
    </xf>
    <xf numFmtId="0" fontId="7" fillId="12" borderId="0" xfId="57" applyNumberFormat="1">
      <alignment vertical="center"/>
    </xf>
    <xf numFmtId="0" fontId="16" fillId="0" borderId="0" xfId="28">
      <alignment vertical="center"/>
    </xf>
    <xf numFmtId="165" fontId="4" fillId="0" borderId="9" xfId="21" applyNumberFormat="1" applyBorder="1">
      <alignment vertical="center"/>
      <protection locked="0"/>
    </xf>
    <xf numFmtId="165" fontId="7" fillId="12" borderId="0" xfId="57">
      <alignment vertical="center"/>
    </xf>
    <xf numFmtId="0" fontId="7" fillId="8" borderId="0" xfId="4" applyAlignment="1">
      <alignment horizontal="left" vertical="center" wrapText="1"/>
    </xf>
    <xf numFmtId="0" fontId="7" fillId="8" borderId="0" xfId="4">
      <alignment vertical="center"/>
    </xf>
    <xf numFmtId="0" fontId="5" fillId="0" borderId="0" xfId="58" applyFill="1">
      <alignment vertical="center"/>
    </xf>
    <xf numFmtId="0" fontId="5" fillId="0" borderId="0" xfId="58" applyFill="1" applyAlignment="1">
      <alignment horizontal="center" vertical="center"/>
    </xf>
    <xf numFmtId="0" fontId="4" fillId="0" borderId="5" xfId="21">
      <alignment vertical="center"/>
      <protection locked="0"/>
    </xf>
    <xf numFmtId="0" fontId="4" fillId="0" borderId="4" xfId="17" applyAlignment="1">
      <alignment horizontal="center" vertical="center"/>
      <protection locked="0"/>
    </xf>
    <xf numFmtId="0" fontId="4" fillId="0" borderId="10" xfId="59">
      <alignment vertical="center"/>
      <protection locked="0"/>
    </xf>
    <xf numFmtId="3" fontId="4" fillId="0" borderId="5" xfId="21" applyNumberFormat="1">
      <alignment vertical="center"/>
      <protection locked="0"/>
    </xf>
    <xf numFmtId="0" fontId="4" fillId="0" borderId="6" xfId="23">
      <alignment vertical="center"/>
      <protection locked="0"/>
    </xf>
    <xf numFmtId="0" fontId="4" fillId="0" borderId="6" xfId="23" applyAlignment="1">
      <alignment horizontal="center" vertical="center"/>
      <protection locked="0"/>
    </xf>
    <xf numFmtId="0" fontId="9" fillId="0" borderId="10" xfId="59" applyFont="1">
      <alignment vertical="center"/>
      <protection locked="0"/>
    </xf>
    <xf numFmtId="0" fontId="9" fillId="0" borderId="0" xfId="0" applyFont="1">
      <alignment vertical="center"/>
    </xf>
    <xf numFmtId="0" fontId="16" fillId="0" borderId="0" xfId="28" applyAlignment="1">
      <alignment horizontal="right" vertical="center"/>
    </xf>
    <xf numFmtId="0" fontId="4" fillId="0" borderId="0" xfId="0" applyFont="1">
      <alignment vertical="center"/>
    </xf>
    <xf numFmtId="0" fontId="7" fillId="10" borderId="0" xfId="33" applyFont="1">
      <alignment vertical="center"/>
    </xf>
    <xf numFmtId="0" fontId="4" fillId="0" borderId="4" xfId="17">
      <alignment vertical="center"/>
      <protection locked="0"/>
    </xf>
    <xf numFmtId="0" fontId="7" fillId="0" borderId="0" xfId="0" applyFont="1">
      <alignment vertical="center"/>
    </xf>
    <xf numFmtId="0" fontId="0" fillId="0" borderId="0" xfId="0" applyAlignment="1">
      <alignment horizontal="left" vertical="center" indent="1"/>
    </xf>
    <xf numFmtId="0" fontId="0" fillId="14" borderId="0" xfId="0" applyFill="1">
      <alignment vertical="center"/>
    </xf>
    <xf numFmtId="10" fontId="4" fillId="0" borderId="5" xfId="21" applyNumberFormat="1">
      <alignment vertical="center"/>
      <protection locked="0"/>
    </xf>
    <xf numFmtId="0" fontId="21" fillId="0" borderId="0" xfId="60">
      <alignment vertical="center"/>
    </xf>
    <xf numFmtId="10" fontId="4" fillId="14" borderId="5" xfId="21" applyNumberFormat="1" applyFill="1">
      <alignment vertical="center"/>
      <protection locked="0"/>
    </xf>
    <xf numFmtId="0" fontId="0" fillId="0" borderId="0" xfId="0" applyAlignment="1">
      <alignment horizontal="left" vertical="center" indent="3"/>
    </xf>
    <xf numFmtId="3" fontId="4" fillId="0" borderId="5" xfId="61" applyNumberFormat="1">
      <alignment vertical="center"/>
      <protection locked="0"/>
    </xf>
    <xf numFmtId="0" fontId="16" fillId="14" borderId="0" xfId="28" applyFill="1">
      <alignment vertical="center"/>
    </xf>
    <xf numFmtId="10" fontId="0" fillId="14" borderId="0" xfId="3" applyNumberFormat="1" applyFont="1" applyFill="1" applyAlignment="1">
      <alignment vertical="center"/>
    </xf>
    <xf numFmtId="3" fontId="0" fillId="14" borderId="0" xfId="0" applyNumberFormat="1" applyFill="1">
      <alignment vertical="center"/>
    </xf>
    <xf numFmtId="189" fontId="0" fillId="0" borderId="0" xfId="3" applyNumberFormat="1" applyFont="1" applyAlignment="1">
      <alignment vertical="center"/>
    </xf>
    <xf numFmtId="10" fontId="22" fillId="0" borderId="0" xfId="3" applyNumberFormat="1" applyFont="1" applyAlignment="1">
      <alignment vertical="center"/>
    </xf>
    <xf numFmtId="3" fontId="0" fillId="0" borderId="0" xfId="0" applyNumberFormat="1">
      <alignment vertical="center"/>
    </xf>
    <xf numFmtId="3" fontId="4" fillId="0" borderId="6" xfId="23" applyNumberFormat="1" applyProtection="1">
      <alignment vertical="center"/>
    </xf>
    <xf numFmtId="0" fontId="0" fillId="0" borderId="0" xfId="0" applyAlignment="1">
      <alignment horizontal="left" vertical="center" indent="2"/>
    </xf>
    <xf numFmtId="3" fontId="13" fillId="4" borderId="6" xfId="22" applyNumberFormat="1">
      <alignment vertical="center"/>
      <protection locked="0"/>
    </xf>
    <xf numFmtId="15" fontId="4" fillId="0" borderId="0" xfId="52" applyNumberFormat="1" applyFont="1" applyAlignment="1">
      <alignment horizontal="left" vertical="center" indent="1"/>
    </xf>
    <xf numFmtId="189" fontId="4" fillId="0" borderId="5" xfId="21" applyNumberFormat="1">
      <alignment vertical="center"/>
      <protection locked="0"/>
    </xf>
    <xf numFmtId="17" fontId="0" fillId="0" borderId="0" xfId="0" applyNumberFormat="1">
      <alignment vertical="center"/>
    </xf>
    <xf numFmtId="15" fontId="0" fillId="0" borderId="0" xfId="0" applyNumberFormat="1">
      <alignment vertical="center"/>
    </xf>
    <xf numFmtId="190" fontId="16" fillId="0" borderId="0" xfId="3" applyNumberFormat="1" applyFont="1" applyFill="1" applyBorder="1" applyAlignment="1">
      <alignment vertical="center"/>
    </xf>
    <xf numFmtId="191" fontId="13" fillId="4" borderId="6" xfId="22" applyNumberFormat="1">
      <alignment vertical="center"/>
      <protection locked="0"/>
    </xf>
    <xf numFmtId="2" fontId="13" fillId="4" borderId="6" xfId="22" applyNumberFormat="1">
      <alignment vertical="center"/>
      <protection locked="0"/>
    </xf>
    <xf numFmtId="10" fontId="0" fillId="0" borderId="0" xfId="0" applyNumberFormat="1">
      <alignment vertical="center"/>
    </xf>
    <xf numFmtId="9" fontId="0" fillId="0" borderId="0" xfId="3" applyFont="1" applyAlignment="1">
      <alignment vertical="center"/>
    </xf>
    <xf numFmtId="170" fontId="4" fillId="14" borderId="5" xfId="21" applyNumberFormat="1" applyFill="1">
      <alignment vertical="center"/>
      <protection locked="0"/>
    </xf>
    <xf numFmtId="2" fontId="4" fillId="0" borderId="5" xfId="21" applyNumberFormat="1">
      <alignment vertical="center"/>
      <protection locked="0"/>
    </xf>
    <xf numFmtId="0" fontId="7" fillId="14" borderId="0" xfId="0" applyFont="1" applyFill="1">
      <alignment vertical="center"/>
    </xf>
    <xf numFmtId="0" fontId="0" fillId="14" borderId="0" xfId="62" applyFont="1" applyFill="1" applyAlignment="1">
      <alignment vertical="center" wrapText="1"/>
    </xf>
    <xf numFmtId="0" fontId="4" fillId="14" borderId="0" xfId="62" applyFill="1" applyAlignment="1">
      <alignment vertical="center" wrapText="1"/>
    </xf>
    <xf numFmtId="10" fontId="4" fillId="0" borderId="5" xfId="3" applyNumberFormat="1" applyBorder="1" applyAlignment="1" applyProtection="1">
      <alignment vertical="center"/>
      <protection locked="0"/>
    </xf>
    <xf numFmtId="0" fontId="17" fillId="9" borderId="0" xfId="29" applyAlignment="1">
      <alignment horizontal="left" vertical="top"/>
    </xf>
    <xf numFmtId="0" fontId="24" fillId="9" borderId="0" xfId="29" applyFont="1">
      <alignment horizontal="center" vertical="top" wrapText="1"/>
    </xf>
    <xf numFmtId="0" fontId="25" fillId="0" borderId="0" xfId="0" applyFont="1">
      <alignment vertical="center"/>
    </xf>
    <xf numFmtId="38" fontId="14" fillId="7" borderId="0" xfId="26" applyNumberFormat="1">
      <alignment vertical="center"/>
    </xf>
    <xf numFmtId="192" fontId="13" fillId="4" borderId="6" xfId="22" applyNumberFormat="1">
      <alignment vertical="center"/>
      <protection locked="0"/>
    </xf>
    <xf numFmtId="192" fontId="13" fillId="16" borderId="11" xfId="22" applyNumberFormat="1" applyFill="1" applyBorder="1">
      <alignment vertical="center"/>
      <protection locked="0"/>
    </xf>
    <xf numFmtId="0" fontId="0" fillId="0" borderId="0" xfId="0" applyAlignment="1">
      <alignment vertical="top"/>
    </xf>
    <xf numFmtId="10" fontId="14" fillId="7" borderId="0" xfId="3" applyNumberFormat="1" applyFont="1" applyFill="1" applyAlignment="1">
      <alignment vertical="center"/>
    </xf>
    <xf numFmtId="10" fontId="14" fillId="14" borderId="0" xfId="3" applyNumberFormat="1" applyFont="1" applyFill="1" applyBorder="1" applyAlignment="1">
      <alignment vertical="center"/>
    </xf>
    <xf numFmtId="0" fontId="4" fillId="0" borderId="12" xfId="23" applyBorder="1">
      <alignment vertical="center"/>
      <protection locked="0"/>
    </xf>
    <xf numFmtId="193" fontId="7" fillId="0" borderId="0" xfId="0" applyNumberFormat="1" applyFont="1">
      <alignment vertical="center"/>
    </xf>
    <xf numFmtId="170" fontId="7" fillId="0" borderId="0" xfId="0" applyNumberFormat="1" applyFont="1">
      <alignment vertical="center"/>
    </xf>
    <xf numFmtId="0" fontId="26" fillId="0" borderId="0" xfId="0" applyFont="1">
      <alignment vertical="center"/>
    </xf>
    <xf numFmtId="0" fontId="4" fillId="5" borderId="0" xfId="24">
      <alignment vertical="center"/>
    </xf>
    <xf numFmtId="0" fontId="4" fillId="0" borderId="6" xfId="23" applyProtection="1">
      <alignment vertical="center"/>
    </xf>
    <xf numFmtId="174" fontId="4" fillId="10" borderId="0" xfId="33" applyNumberFormat="1">
      <alignment vertical="center"/>
    </xf>
    <xf numFmtId="170" fontId="0" fillId="0" borderId="6" xfId="23" applyNumberFormat="1" applyFont="1">
      <alignment vertical="center"/>
      <protection locked="0"/>
    </xf>
    <xf numFmtId="170" fontId="0" fillId="0" borderId="11" xfId="23" applyNumberFormat="1" applyFont="1" applyBorder="1">
      <alignment vertical="center"/>
      <protection locked="0"/>
    </xf>
    <xf numFmtId="2" fontId="0" fillId="0" borderId="0" xfId="23" applyNumberFormat="1" applyFont="1" applyBorder="1">
      <alignment vertical="center"/>
      <protection locked="0"/>
    </xf>
    <xf numFmtId="192" fontId="4" fillId="0" borderId="0" xfId="1" applyNumberFormat="1" applyBorder="1" applyAlignment="1" applyProtection="1">
      <alignment vertical="center"/>
      <protection locked="0"/>
    </xf>
    <xf numFmtId="0" fontId="7" fillId="0" borderId="7" xfId="36" applyNumberFormat="1" applyFont="1">
      <alignment vertical="center"/>
    </xf>
    <xf numFmtId="0" fontId="27" fillId="0" borderId="7" xfId="36" applyNumberFormat="1" applyFont="1">
      <alignment vertical="center"/>
    </xf>
    <xf numFmtId="171" fontId="7" fillId="0" borderId="0" xfId="0" applyNumberFormat="1" applyFont="1">
      <alignment vertical="center"/>
    </xf>
    <xf numFmtId="37" fontId="0" fillId="10" borderId="0" xfId="33" applyNumberFormat="1" applyFont="1">
      <alignment vertical="center"/>
    </xf>
    <xf numFmtId="37" fontId="0" fillId="0" borderId="6" xfId="23" applyNumberFormat="1" applyFont="1">
      <alignment vertical="center"/>
      <protection locked="0"/>
    </xf>
    <xf numFmtId="37" fontId="0" fillId="0" borderId="11" xfId="23" applyNumberFormat="1" applyFont="1" applyBorder="1">
      <alignment vertical="center"/>
      <protection locked="0"/>
    </xf>
    <xf numFmtId="37" fontId="4" fillId="0" borderId="6" xfId="23" applyNumberFormat="1">
      <alignment vertical="center"/>
      <protection locked="0"/>
    </xf>
    <xf numFmtId="37" fontId="0" fillId="0" borderId="0" xfId="0" applyNumberFormat="1">
      <alignment vertical="center"/>
    </xf>
    <xf numFmtId="0" fontId="28" fillId="0" borderId="0" xfId="0" applyFont="1">
      <alignment vertical="center"/>
    </xf>
    <xf numFmtId="38" fontId="0" fillId="0" borderId="0" xfId="0" applyNumberFormat="1">
      <alignment vertical="center"/>
    </xf>
    <xf numFmtId="170" fontId="4" fillId="0" borderId="6" xfId="23" applyNumberFormat="1">
      <alignment vertical="center"/>
      <protection locked="0"/>
    </xf>
    <xf numFmtId="38" fontId="4" fillId="5" borderId="0" xfId="24" applyNumberFormat="1">
      <alignment vertical="center"/>
    </xf>
    <xf numFmtId="195" fontId="4" fillId="0" borderId="6" xfId="23" applyNumberFormat="1">
      <alignment vertical="center"/>
      <protection locked="0"/>
    </xf>
    <xf numFmtId="0" fontId="13" fillId="4" borderId="6" xfId="22" applyNumberFormat="1">
      <alignment vertical="center"/>
      <protection locked="0"/>
    </xf>
    <xf numFmtId="41" fontId="0" fillId="10" borderId="0" xfId="33" applyNumberFormat="1" applyFont="1">
      <alignment vertical="center"/>
    </xf>
    <xf numFmtId="0" fontId="4" fillId="0" borderId="0" xfId="23" applyFill="1" applyBorder="1">
      <alignment vertical="center"/>
      <protection locked="0"/>
    </xf>
    <xf numFmtId="37" fontId="4" fillId="5" borderId="0" xfId="24" applyNumberFormat="1">
      <alignment vertical="center"/>
    </xf>
    <xf numFmtId="2" fontId="4" fillId="0" borderId="5" xfId="21" applyNumberFormat="1" applyAlignment="1">
      <alignment horizontal="center" vertical="center"/>
      <protection locked="0"/>
    </xf>
    <xf numFmtId="0" fontId="4" fillId="0" borderId="5" xfId="61" applyAlignment="1">
      <alignment horizontal="center" vertical="center"/>
      <protection locked="0"/>
    </xf>
    <xf numFmtId="2" fontId="4" fillId="0" borderId="6" xfId="23" applyNumberFormat="1">
      <alignment vertical="center"/>
      <protection locked="0"/>
    </xf>
    <xf numFmtId="0" fontId="4" fillId="0" borderId="5" xfId="21" applyAlignment="1">
      <alignment horizontal="center" vertical="center"/>
      <protection locked="0"/>
    </xf>
    <xf numFmtId="0" fontId="0" fillId="0" borderId="6" xfId="23" applyFont="1" applyAlignment="1">
      <alignment horizontal="center" vertical="center"/>
      <protection locked="0"/>
    </xf>
    <xf numFmtId="0" fontId="17" fillId="11" borderId="0" xfId="53" applyAlignment="1">
      <alignment horizontal="left" vertical="top"/>
    </xf>
    <xf numFmtId="0" fontId="0" fillId="0" borderId="6" xfId="23" applyFont="1">
      <alignment vertical="center"/>
      <protection locked="0"/>
    </xf>
    <xf numFmtId="2" fontId="4" fillId="0" borderId="6" xfId="23" applyNumberFormat="1" applyAlignment="1">
      <alignment horizontal="center" vertical="center"/>
      <protection locked="0"/>
    </xf>
    <xf numFmtId="10" fontId="4" fillId="0" borderId="6" xfId="23" applyNumberFormat="1" applyAlignment="1">
      <alignment horizontal="center" vertical="center"/>
      <protection locked="0"/>
    </xf>
    <xf numFmtId="4" fontId="4" fillId="0" borderId="6" xfId="23" applyNumberFormat="1" applyAlignment="1">
      <alignment horizontal="center" vertical="center"/>
      <protection locked="0"/>
    </xf>
    <xf numFmtId="4" fontId="4" fillId="0" borderId="6" xfId="23" applyNumberFormat="1" applyFill="1" applyAlignment="1">
      <alignment horizontal="center" vertical="center"/>
      <protection locked="0"/>
    </xf>
    <xf numFmtId="0" fontId="16" fillId="0" borderId="7" xfId="36" applyNumberFormat="1" applyFont="1">
      <alignment vertical="center"/>
    </xf>
    <xf numFmtId="0" fontId="4" fillId="0" borderId="5" xfId="61">
      <alignment vertical="center"/>
      <protection locked="0"/>
    </xf>
    <xf numFmtId="0" fontId="4" fillId="0" borderId="6" xfId="23" applyFill="1">
      <alignment vertical="center"/>
      <protection locked="0"/>
    </xf>
    <xf numFmtId="0" fontId="17" fillId="11" borderId="14" xfId="54" applyNumberFormat="1" applyBorder="1" applyAlignment="1">
      <alignment horizontal="centerContinuous" vertical="top" wrapText="1"/>
    </xf>
    <xf numFmtId="0" fontId="24" fillId="11" borderId="0" xfId="54" applyFont="1">
      <alignment horizontal="centerContinuous" vertical="top"/>
    </xf>
    <xf numFmtId="2" fontId="0" fillId="0" borderId="6" xfId="23" applyNumberFormat="1" applyFont="1" applyAlignment="1">
      <alignment horizontal="center" vertical="center"/>
      <protection locked="0"/>
    </xf>
    <xf numFmtId="3" fontId="4" fillId="0" borderId="6" xfId="23" applyNumberFormat="1" applyAlignment="1">
      <alignment horizontal="center" vertical="center"/>
      <protection locked="0"/>
    </xf>
    <xf numFmtId="3" fontId="4" fillId="0" borderId="6" xfId="23" applyNumberFormat="1" applyAlignment="1" applyProtection="1">
      <alignment horizontal="center" vertical="center"/>
    </xf>
    <xf numFmtId="9" fontId="25" fillId="0" borderId="0" xfId="3" applyFont="1" applyAlignment="1">
      <alignment vertical="center"/>
    </xf>
    <xf numFmtId="189" fontId="25" fillId="0" borderId="0" xfId="3" applyNumberFormat="1" applyFont="1" applyAlignment="1">
      <alignment vertical="center"/>
    </xf>
    <xf numFmtId="1" fontId="0" fillId="0" borderId="6" xfId="23" applyNumberFormat="1" applyFont="1" applyAlignment="1">
      <alignment horizontal="center" vertical="center"/>
      <protection locked="0"/>
    </xf>
    <xf numFmtId="0" fontId="17" fillId="11" borderId="14" xfId="54" applyBorder="1">
      <alignment horizontal="centerContinuous" vertical="top"/>
    </xf>
    <xf numFmtId="3" fontId="4" fillId="0" borderId="6" xfId="23" applyNumberFormat="1" applyFill="1" applyAlignment="1">
      <alignment horizontal="center" vertical="center"/>
      <protection locked="0"/>
    </xf>
    <xf numFmtId="4" fontId="7" fillId="8" borderId="0" xfId="4" applyNumberFormat="1" applyAlignment="1">
      <alignment horizontal="center" vertical="center"/>
    </xf>
    <xf numFmtId="3" fontId="0" fillId="0" borderId="7" xfId="36" applyNumberFormat="1" applyFont="1">
      <alignment vertical="center"/>
    </xf>
    <xf numFmtId="0" fontId="31" fillId="0" borderId="7" xfId="36" applyNumberFormat="1" applyFont="1">
      <alignment vertical="center"/>
    </xf>
    <xf numFmtId="9" fontId="0" fillId="0" borderId="0" xfId="0" applyNumberFormat="1">
      <alignment vertical="center"/>
    </xf>
    <xf numFmtId="4" fontId="13" fillId="4" borderId="6" xfId="22" applyNumberFormat="1" applyAlignment="1">
      <alignment horizontal="center" vertical="center"/>
      <protection locked="0"/>
    </xf>
    <xf numFmtId="2" fontId="13" fillId="4" borderId="6" xfId="22" applyNumberFormat="1" applyAlignment="1">
      <alignment horizontal="center" vertical="center"/>
      <protection locked="0"/>
    </xf>
    <xf numFmtId="191" fontId="0" fillId="0" borderId="0" xfId="0" applyNumberFormat="1">
      <alignment vertical="center"/>
    </xf>
    <xf numFmtId="1" fontId="4" fillId="0" borderId="4" xfId="17" applyNumberFormat="1" applyAlignment="1">
      <alignment horizontal="center" vertical="center" wrapText="1"/>
      <protection locked="0"/>
    </xf>
    <xf numFmtId="191" fontId="4" fillId="0" borderId="6" xfId="23" applyNumberFormat="1" applyAlignment="1">
      <alignment horizontal="center" vertical="center"/>
      <protection locked="0"/>
    </xf>
    <xf numFmtId="10" fontId="4" fillId="14" borderId="6" xfId="23" applyNumberFormat="1" applyFill="1" applyAlignment="1">
      <alignment horizontal="center" vertical="center"/>
      <protection locked="0"/>
    </xf>
    <xf numFmtId="191" fontId="4" fillId="0" borderId="6" xfId="23" applyNumberFormat="1" applyFill="1" applyAlignment="1">
      <alignment horizontal="center" vertical="center"/>
      <protection locked="0"/>
    </xf>
    <xf numFmtId="1" fontId="0" fillId="0" borderId="0" xfId="0" applyNumberFormat="1">
      <alignment vertical="center"/>
    </xf>
    <xf numFmtId="0" fontId="17" fillId="11" borderId="15" xfId="54" applyBorder="1">
      <alignment horizontal="centerContinuous" vertical="top"/>
    </xf>
    <xf numFmtId="0" fontId="17" fillId="11" borderId="16" xfId="54" applyBorder="1">
      <alignment horizontal="centerContinuous" vertical="top"/>
    </xf>
    <xf numFmtId="0" fontId="7" fillId="17" borderId="0" xfId="29" applyFont="1" applyFill="1">
      <alignment horizontal="center" vertical="top" wrapText="1"/>
    </xf>
    <xf numFmtId="2" fontId="4" fillId="16" borderId="0" xfId="22" applyNumberFormat="1" applyFont="1" applyFill="1" applyBorder="1">
      <alignment vertical="center"/>
      <protection locked="0"/>
    </xf>
    <xf numFmtId="0" fontId="17" fillId="11" borderId="0" xfId="53" applyAlignment="1">
      <alignment horizontal="center" vertical="top" wrapText="1"/>
    </xf>
    <xf numFmtId="0" fontId="17" fillId="11" borderId="0" xfId="54" applyAlignment="1">
      <alignment horizontal="centerContinuous" vertical="top" wrapText="1"/>
    </xf>
    <xf numFmtId="0" fontId="17" fillId="9" borderId="17" xfId="29" applyBorder="1">
      <alignment horizontal="center" vertical="top" wrapText="1"/>
    </xf>
    <xf numFmtId="1" fontId="4" fillId="0" borderId="5" xfId="21" applyNumberFormat="1" applyAlignment="1">
      <alignment horizontal="center" vertical="center"/>
      <protection locked="0"/>
    </xf>
    <xf numFmtId="1" fontId="4" fillId="0" borderId="5" xfId="21" applyNumberFormat="1" applyAlignment="1">
      <alignment horizontal="center" vertical="center" wrapText="1"/>
      <protection locked="0"/>
    </xf>
    <xf numFmtId="4" fontId="4" fillId="5" borderId="0" xfId="24" applyNumberFormat="1">
      <alignment vertical="center"/>
    </xf>
    <xf numFmtId="0" fontId="4" fillId="14" borderId="0" xfId="33" applyFont="1" applyFill="1" applyBorder="1">
      <alignment vertical="center"/>
    </xf>
    <xf numFmtId="0" fontId="0" fillId="0" borderId="0" xfId="36" applyNumberFormat="1" applyFont="1" applyBorder="1">
      <alignment vertical="center"/>
    </xf>
    <xf numFmtId="0" fontId="7" fillId="12" borderId="0" xfId="57" applyNumberFormat="1" applyAlignment="1">
      <alignment horizontal="center" vertical="top" wrapText="1"/>
    </xf>
    <xf numFmtId="0" fontId="7" fillId="12" borderId="0" xfId="57" applyNumberFormat="1" applyAlignment="1">
      <alignment vertical="top" wrapText="1"/>
    </xf>
    <xf numFmtId="0" fontId="7" fillId="14" borderId="0" xfId="57" applyNumberFormat="1" applyFill="1" applyAlignment="1">
      <alignment vertical="top" wrapText="1"/>
    </xf>
    <xf numFmtId="0" fontId="17" fillId="14" borderId="0" xfId="53" applyFill="1" applyAlignment="1">
      <alignment horizontal="center" vertical="top" wrapText="1"/>
    </xf>
    <xf numFmtId="0" fontId="17" fillId="11" borderId="0" xfId="53" applyAlignment="1">
      <alignment horizontal="center" vertical="center" wrapText="1"/>
    </xf>
    <xf numFmtId="0" fontId="17" fillId="9" borderId="14" xfId="29" applyBorder="1" applyAlignment="1">
      <alignment horizontal="center" vertical="center" wrapText="1"/>
    </xf>
    <xf numFmtId="2" fontId="7" fillId="8" borderId="0" xfId="4" applyNumberFormat="1">
      <alignment vertical="center"/>
    </xf>
    <xf numFmtId="2" fontId="7" fillId="14" borderId="0" xfId="4" applyNumberFormat="1" applyFill="1">
      <alignment vertical="center"/>
    </xf>
    <xf numFmtId="2" fontId="13" fillId="4" borderId="6" xfId="22" applyNumberFormat="1" applyAlignment="1">
      <alignment horizontal="right" vertical="center"/>
      <protection locked="0"/>
    </xf>
    <xf numFmtId="10" fontId="7" fillId="0" borderId="7" xfId="36" applyNumberFormat="1" applyFont="1">
      <alignment vertical="center"/>
    </xf>
    <xf numFmtId="2" fontId="4" fillId="0" borderId="0" xfId="23" applyNumberFormat="1" applyFill="1" applyBorder="1" applyAlignment="1">
      <alignment horizontal="center" vertical="center"/>
      <protection locked="0"/>
    </xf>
    <xf numFmtId="43" fontId="14" fillId="7" borderId="0" xfId="1" applyFont="1" applyFill="1" applyAlignment="1">
      <alignment vertical="center"/>
    </xf>
    <xf numFmtId="2" fontId="0" fillId="0" borderId="0" xfId="0" applyNumberFormat="1">
      <alignment vertical="center"/>
    </xf>
    <xf numFmtId="192" fontId="13" fillId="4" borderId="6" xfId="1" applyNumberFormat="1" applyFont="1" applyFill="1" applyBorder="1" applyAlignment="1" applyProtection="1">
      <alignment horizontal="left" vertical="center"/>
      <protection locked="0"/>
    </xf>
    <xf numFmtId="0" fontId="17" fillId="0" borderId="0" xfId="29" applyFill="1">
      <alignment horizontal="center" vertical="top" wrapText="1"/>
    </xf>
    <xf numFmtId="0" fontId="7" fillId="0" borderId="0" xfId="0" applyFont="1" applyAlignment="1">
      <alignment horizontal="center" vertical="center"/>
    </xf>
    <xf numFmtId="3" fontId="7" fillId="0" borderId="18" xfId="23" applyNumberFormat="1" applyFont="1" applyFill="1" applyBorder="1" applyAlignment="1">
      <alignment horizontal="center" vertical="center"/>
      <protection locked="0"/>
    </xf>
    <xf numFmtId="10" fontId="4" fillId="0" borderId="6" xfId="3" applyNumberFormat="1" applyBorder="1" applyAlignment="1" applyProtection="1">
      <alignment horizontal="center" vertical="center"/>
      <protection locked="0"/>
    </xf>
    <xf numFmtId="3" fontId="13" fillId="4" borderId="6" xfId="22" applyNumberFormat="1" applyAlignment="1">
      <alignment horizontal="center" vertical="center"/>
      <protection locked="0"/>
    </xf>
    <xf numFmtId="4" fontId="7" fillId="8" borderId="0" xfId="4" applyNumberFormat="1">
      <alignment vertical="center"/>
    </xf>
    <xf numFmtId="9" fontId="4" fillId="0" borderId="0" xfId="23" applyNumberFormat="1" applyFill="1" applyBorder="1" applyAlignment="1">
      <alignment horizontal="center" vertical="center"/>
      <protection locked="0"/>
    </xf>
    <xf numFmtId="3" fontId="7" fillId="0" borderId="7" xfId="36" applyNumberFormat="1" applyFont="1" applyAlignment="1">
      <alignment horizontal="center" vertical="center"/>
    </xf>
    <xf numFmtId="9" fontId="7" fillId="0" borderId="7" xfId="36" applyNumberFormat="1" applyFont="1" applyAlignment="1">
      <alignment horizontal="center" vertical="center"/>
    </xf>
    <xf numFmtId="3" fontId="7" fillId="0" borderId="0" xfId="36" applyNumberFormat="1" applyFont="1" applyFill="1" applyBorder="1">
      <alignment vertical="center"/>
    </xf>
    <xf numFmtId="10" fontId="4" fillId="5" borderId="0" xfId="24" applyNumberFormat="1" applyAlignment="1">
      <alignment horizontal="center" vertical="center"/>
    </xf>
    <xf numFmtId="4" fontId="14" fillId="7" borderId="0" xfId="26" applyNumberFormat="1">
      <alignment vertical="center"/>
    </xf>
    <xf numFmtId="0" fontId="0" fillId="14" borderId="0" xfId="0" applyFill="1" applyAlignment="1">
      <alignment vertical="center" wrapText="1"/>
    </xf>
    <xf numFmtId="0" fontId="9" fillId="0" borderId="0" xfId="59" applyFont="1" applyBorder="1">
      <alignment vertical="center"/>
      <protection locked="0"/>
    </xf>
    <xf numFmtId="3" fontId="7" fillId="0" borderId="6" xfId="23" applyNumberFormat="1" applyFont="1" applyAlignment="1">
      <alignment horizontal="center" vertical="center"/>
      <protection locked="0"/>
    </xf>
    <xf numFmtId="10" fontId="7" fillId="0" borderId="7" xfId="36" applyNumberFormat="1" applyFont="1" applyAlignment="1">
      <alignment horizontal="center" vertical="center"/>
    </xf>
    <xf numFmtId="10" fontId="0" fillId="0" borderId="6" xfId="3" applyNumberFormat="1" applyFont="1" applyBorder="1" applyAlignment="1" applyProtection="1">
      <alignment horizontal="center" vertical="center"/>
      <protection locked="0"/>
    </xf>
    <xf numFmtId="43" fontId="13" fillId="4" borderId="6" xfId="22" applyNumberFormat="1" applyAlignment="1">
      <alignment horizontal="center" vertical="center"/>
      <protection locked="0"/>
    </xf>
    <xf numFmtId="4" fontId="0" fillId="0" borderId="0" xfId="0" applyNumberFormat="1">
      <alignment vertical="center"/>
    </xf>
    <xf numFmtId="3" fontId="7" fillId="0" borderId="7" xfId="36" applyNumberFormat="1" applyFont="1">
      <alignment vertical="center"/>
    </xf>
    <xf numFmtId="0" fontId="0" fillId="0" borderId="0" xfId="0" applyAlignment="1"/>
    <xf numFmtId="0" fontId="7" fillId="12" borderId="19" xfId="57" applyNumberFormat="1" applyBorder="1" applyAlignment="1">
      <alignment horizontal="centerContinuous" vertical="center"/>
    </xf>
    <xf numFmtId="0" fontId="7" fillId="14" borderId="19" xfId="57" applyNumberFormat="1" applyFill="1" applyBorder="1" applyAlignment="1">
      <alignment horizontal="centerContinuous" vertical="center"/>
    </xf>
    <xf numFmtId="0" fontId="17" fillId="9" borderId="20" xfId="29" applyBorder="1">
      <alignment horizontal="center" vertical="top" wrapText="1"/>
    </xf>
    <xf numFmtId="0" fontId="4" fillId="18" borderId="0" xfId="63">
      <alignment vertical="center"/>
    </xf>
    <xf numFmtId="192" fontId="4" fillId="0" borderId="5" xfId="1" applyNumberFormat="1" applyBorder="1" applyAlignment="1" applyProtection="1">
      <alignment vertical="center"/>
      <protection locked="0"/>
    </xf>
    <xf numFmtId="43" fontId="4" fillId="0" borderId="5" xfId="1" applyBorder="1" applyAlignment="1" applyProtection="1">
      <alignment vertical="center"/>
      <protection locked="0"/>
    </xf>
    <xf numFmtId="172" fontId="4" fillId="0" borderId="5" xfId="2" applyNumberFormat="1" applyFill="1" applyBorder="1" applyAlignment="1" applyProtection="1">
      <alignment vertical="center"/>
      <protection locked="0"/>
    </xf>
    <xf numFmtId="172" fontId="4" fillId="0" borderId="5" xfId="2" applyNumberFormat="1" applyFont="1" applyFill="1" applyBorder="1" applyAlignment="1" applyProtection="1">
      <alignment vertical="center"/>
      <protection locked="0"/>
    </xf>
    <xf numFmtId="0" fontId="32" fillId="14" borderId="0" xfId="0" applyFont="1" applyFill="1">
      <alignment vertical="center"/>
    </xf>
    <xf numFmtId="192" fontId="7" fillId="0" borderId="21" xfId="1" applyNumberFormat="1" applyFont="1" applyFill="1" applyBorder="1" applyAlignment="1" applyProtection="1">
      <alignment vertical="center"/>
      <protection locked="0"/>
    </xf>
    <xf numFmtId="9" fontId="7" fillId="0" borderId="21" xfId="3" applyFont="1" applyFill="1" applyBorder="1" applyAlignment="1" applyProtection="1">
      <alignment vertical="center"/>
      <protection locked="0"/>
    </xf>
    <xf numFmtId="0" fontId="20" fillId="0" borderId="0" xfId="65" applyFont="1" applyBorder="1">
      <alignment vertical="center"/>
      <protection locked="0"/>
    </xf>
    <xf numFmtId="0" fontId="33" fillId="0" borderId="0" xfId="0" applyFont="1" applyAlignment="1"/>
    <xf numFmtId="0" fontId="34" fillId="0" borderId="0" xfId="0" applyFont="1" applyAlignment="1"/>
    <xf numFmtId="192" fontId="33" fillId="0" borderId="0" xfId="1" applyNumberFormat="1" applyFont="1" applyFill="1" applyBorder="1"/>
    <xf numFmtId="0" fontId="0" fillId="14" borderId="0" xfId="21" applyFont="1" applyFill="1" applyBorder="1">
      <alignment vertical="center"/>
      <protection locked="0"/>
    </xf>
    <xf numFmtId="0" fontId="4" fillId="14" borderId="0" xfId="21" applyFill="1" applyBorder="1">
      <alignment vertical="center"/>
      <protection locked="0"/>
    </xf>
    <xf numFmtId="0" fontId="0" fillId="0" borderId="7" xfId="36" applyNumberFormat="1" applyFont="1" applyAlignment="1">
      <alignment horizontal="centerContinuous" vertical="center"/>
    </xf>
    <xf numFmtId="0" fontId="0" fillId="0" borderId="0" xfId="0" applyAlignment="1">
      <alignment horizontal="centerContinuous" vertical="center"/>
    </xf>
    <xf numFmtId="0" fontId="7" fillId="0" borderId="0" xfId="0" applyFont="1" applyAlignment="1">
      <alignment horizontal="right" vertical="center"/>
    </xf>
    <xf numFmtId="0" fontId="0" fillId="0" borderId="0" xfId="0" applyAlignment="1">
      <alignment horizontal="left" vertical="center"/>
    </xf>
    <xf numFmtId="0" fontId="7" fillId="0" borderId="4" xfId="17" applyFont="1" applyAlignment="1">
      <alignment horizontal="center" vertical="center"/>
      <protection locked="0"/>
    </xf>
    <xf numFmtId="3" fontId="4" fillId="0" borderId="5" xfId="21" applyNumberFormat="1" applyAlignment="1">
      <alignment horizontal="center" vertical="center"/>
      <protection locked="0"/>
    </xf>
    <xf numFmtId="0" fontId="4" fillId="5" borderId="0" xfId="24" applyAlignment="1">
      <alignment horizontal="center" vertical="center"/>
    </xf>
    <xf numFmtId="3" fontId="4" fillId="5" borderId="0" xfId="24" applyNumberFormat="1" applyAlignment="1">
      <alignment horizontal="center" vertical="center"/>
    </xf>
    <xf numFmtId="10" fontId="13" fillId="4" borderId="6" xfId="22" applyNumberFormat="1" applyAlignment="1">
      <alignment horizontal="center" vertical="center"/>
      <protection locked="0"/>
    </xf>
    <xf numFmtId="10" fontId="7" fillId="8" borderId="0" xfId="4" applyNumberFormat="1">
      <alignment vertical="center"/>
    </xf>
    <xf numFmtId="0" fontId="4" fillId="5" borderId="0" xfId="24" applyAlignment="1">
      <alignment horizontal="left" vertical="center"/>
    </xf>
    <xf numFmtId="197" fontId="4" fillId="5" borderId="0" xfId="24" applyNumberFormat="1" applyAlignment="1">
      <alignment horizontal="center" vertical="center"/>
    </xf>
    <xf numFmtId="1" fontId="4" fillId="5" borderId="0" xfId="24" applyNumberFormat="1" applyAlignment="1">
      <alignment horizontal="center" vertical="center"/>
    </xf>
    <xf numFmtId="3" fontId="4" fillId="10" borderId="0" xfId="33" applyNumberFormat="1" applyAlignment="1">
      <alignment horizontal="center" vertical="center"/>
    </xf>
    <xf numFmtId="10" fontId="7" fillId="10" borderId="0" xfId="33" applyNumberFormat="1" applyFont="1">
      <alignment vertical="center"/>
    </xf>
    <xf numFmtId="10" fontId="4" fillId="5" borderId="0" xfId="3" applyNumberFormat="1" applyFill="1" applyAlignment="1">
      <alignment horizontal="center" vertical="center"/>
    </xf>
    <xf numFmtId="10" fontId="25" fillId="4" borderId="6" xfId="22" applyNumberFormat="1" applyFont="1" applyAlignment="1">
      <alignment horizontal="center" vertical="center"/>
      <protection locked="0"/>
    </xf>
    <xf numFmtId="3" fontId="4" fillId="10" borderId="0" xfId="33" applyNumberFormat="1" applyFont="1" applyAlignment="1">
      <alignment horizontal="left" vertical="center"/>
    </xf>
    <xf numFmtId="0" fontId="28" fillId="0" borderId="0" xfId="57" applyNumberFormat="1" applyFont="1" applyFill="1" applyAlignment="1">
      <alignment horizontal="center" vertical="top" wrapText="1"/>
    </xf>
    <xf numFmtId="0" fontId="28" fillId="0" borderId="0" xfId="53" applyFont="1" applyFill="1" applyAlignment="1">
      <alignment horizontal="center" vertical="center" wrapText="1"/>
    </xf>
    <xf numFmtId="0" fontId="28" fillId="0" borderId="0" xfId="53" applyFont="1" applyFill="1">
      <alignment horizontal="left" vertical="top" wrapText="1"/>
    </xf>
    <xf numFmtId="0" fontId="28" fillId="0" borderId="0" xfId="0" applyFont="1" applyAlignment="1">
      <alignment horizontal="center" vertical="center"/>
    </xf>
    <xf numFmtId="196" fontId="13" fillId="0" borderId="0" xfId="22" applyNumberFormat="1" applyFill="1" applyBorder="1">
      <alignment vertical="center"/>
      <protection locked="0"/>
    </xf>
    <xf numFmtId="0" fontId="25" fillId="0" borderId="0" xfId="33" applyFont="1" applyFill="1" applyBorder="1">
      <alignment vertical="center"/>
    </xf>
    <xf numFmtId="2" fontId="25" fillId="0" borderId="0" xfId="22" applyNumberFormat="1" applyFont="1" applyFill="1" applyBorder="1">
      <alignment vertical="center"/>
      <protection locked="0"/>
    </xf>
    <xf numFmtId="2" fontId="28" fillId="0" borderId="0" xfId="4" applyNumberFormat="1" applyFont="1" applyFill="1">
      <alignment vertical="center"/>
    </xf>
    <xf numFmtId="10" fontId="0" fillId="0" borderId="0" xfId="3" applyNumberFormat="1" applyFont="1" applyAlignment="1">
      <alignment vertical="center"/>
    </xf>
    <xf numFmtId="196" fontId="4" fillId="14" borderId="0" xfId="24" applyNumberFormat="1" applyFill="1">
      <alignment vertical="center"/>
    </xf>
    <xf numFmtId="1" fontId="13" fillId="16" borderId="0" xfId="22" applyNumberFormat="1" applyFill="1" applyBorder="1">
      <alignment vertical="center"/>
      <protection locked="0"/>
    </xf>
    <xf numFmtId="0" fontId="17" fillId="9" borderId="15" xfId="29" applyBorder="1">
      <alignment horizontal="center" vertical="top" wrapText="1"/>
    </xf>
    <xf numFmtId="0" fontId="28" fillId="0" borderId="0" xfId="29" applyFont="1" applyFill="1">
      <alignment horizontal="center" vertical="top" wrapText="1"/>
    </xf>
    <xf numFmtId="0" fontId="4" fillId="14" borderId="6" xfId="23" applyFill="1" applyProtection="1">
      <alignment vertical="center"/>
    </xf>
    <xf numFmtId="2" fontId="0" fillId="5" borderId="0" xfId="24" applyNumberFormat="1" applyFont="1" applyAlignment="1">
      <alignment horizontal="center" vertical="center"/>
    </xf>
    <xf numFmtId="2" fontId="25" fillId="0" borderId="0" xfId="22" applyNumberFormat="1" applyFont="1" applyFill="1" applyBorder="1" applyAlignment="1">
      <alignment horizontal="center" vertical="center"/>
      <protection locked="0"/>
    </xf>
    <xf numFmtId="2" fontId="25" fillId="0" borderId="0" xfId="23" applyNumberFormat="1" applyFont="1" applyFill="1" applyBorder="1" applyAlignment="1" applyProtection="1">
      <alignment horizontal="center" vertical="center"/>
    </xf>
    <xf numFmtId="2" fontId="28" fillId="0" borderId="0" xfId="4" applyNumberFormat="1" applyFont="1" applyFill="1" applyAlignment="1">
      <alignment horizontal="center" vertical="center"/>
    </xf>
    <xf numFmtId="198" fontId="25" fillId="0" borderId="0" xfId="1" applyNumberFormat="1" applyFont="1" applyFill="1" applyBorder="1" applyAlignment="1">
      <alignment vertical="center"/>
    </xf>
    <xf numFmtId="9" fontId="0" fillId="0" borderId="0" xfId="3" applyFont="1" applyFill="1" applyBorder="1" applyAlignment="1">
      <alignment vertical="center"/>
    </xf>
    <xf numFmtId="0" fontId="0" fillId="14" borderId="6" xfId="23" applyFont="1" applyFill="1" applyProtection="1">
      <alignment vertical="center"/>
    </xf>
    <xf numFmtId="196" fontId="4" fillId="0" borderId="0" xfId="24" applyNumberFormat="1" applyFill="1">
      <alignment vertical="center"/>
    </xf>
    <xf numFmtId="0" fontId="0" fillId="14" borderId="7" xfId="36" applyNumberFormat="1" applyFont="1" applyFill="1">
      <alignment vertical="center"/>
    </xf>
    <xf numFmtId="0" fontId="0" fillId="14" borderId="0" xfId="36" applyNumberFormat="1" applyFont="1" applyFill="1" applyBorder="1">
      <alignment vertical="center"/>
    </xf>
    <xf numFmtId="0" fontId="28" fillId="9" borderId="0" xfId="29" applyFont="1">
      <alignment horizontal="center" vertical="top" wrapText="1"/>
    </xf>
    <xf numFmtId="0" fontId="4" fillId="0" borderId="6" xfId="23" applyFill="1" applyProtection="1">
      <alignment vertical="center"/>
    </xf>
    <xf numFmtId="1" fontId="4" fillId="0" borderId="23" xfId="21" applyNumberFormat="1" applyBorder="1" applyAlignment="1">
      <alignment horizontal="center" vertical="center"/>
      <protection locked="0"/>
    </xf>
    <xf numFmtId="9" fontId="4" fillId="4" borderId="6" xfId="3" applyFont="1" applyFill="1" applyBorder="1" applyAlignment="1" applyProtection="1">
      <alignment horizontal="center" vertical="center"/>
      <protection locked="0"/>
    </xf>
    <xf numFmtId="9" fontId="25" fillId="0" borderId="0" xfId="3" applyFont="1" applyAlignment="1">
      <alignment horizontal="center" vertical="center"/>
    </xf>
    <xf numFmtId="2" fontId="4" fillId="18" borderId="0" xfId="63" applyNumberFormat="1" applyAlignment="1">
      <alignment horizontal="center" vertical="center"/>
    </xf>
    <xf numFmtId="2" fontId="7" fillId="8" borderId="0" xfId="4" applyNumberFormat="1" applyAlignment="1">
      <alignment horizontal="center" vertical="center"/>
    </xf>
    <xf numFmtId="198" fontId="25" fillId="0" borderId="0" xfId="1" applyNumberFormat="1" applyFont="1" applyFill="1" applyAlignment="1">
      <alignment vertical="center"/>
    </xf>
    <xf numFmtId="9" fontId="0" fillId="0" borderId="0" xfId="3" applyFont="1" applyFill="1" applyAlignment="1">
      <alignment vertical="center"/>
    </xf>
    <xf numFmtId="2" fontId="4" fillId="0" borderId="0" xfId="1" applyNumberFormat="1" applyFont="1" applyFill="1" applyAlignment="1">
      <alignment vertical="center"/>
    </xf>
    <xf numFmtId="2" fontId="4" fillId="0" borderId="0" xfId="0" applyNumberFormat="1" applyFont="1">
      <alignment vertical="center"/>
    </xf>
    <xf numFmtId="0" fontId="0" fillId="0" borderId="0" xfId="0" applyAlignment="1">
      <alignment vertical="center" wrapText="1"/>
    </xf>
    <xf numFmtId="0" fontId="4" fillId="14" borderId="0" xfId="16" applyFill="1" applyAlignment="1">
      <alignment vertical="center" wrapText="1"/>
    </xf>
    <xf numFmtId="0" fontId="17" fillId="9" borderId="24" xfId="29" applyBorder="1">
      <alignment horizontal="center" vertical="top" wrapText="1"/>
    </xf>
    <xf numFmtId="0" fontId="7" fillId="10" borderId="0" xfId="33" applyFont="1" applyAlignment="1">
      <alignment horizontal="center" vertical="center"/>
    </xf>
    <xf numFmtId="39" fontId="0" fillId="0" borderId="0" xfId="0" applyNumberFormat="1">
      <alignment vertical="center"/>
    </xf>
    <xf numFmtId="37" fontId="7" fillId="8" borderId="0" xfId="4" applyNumberFormat="1">
      <alignment vertical="center"/>
    </xf>
    <xf numFmtId="0" fontId="36" fillId="0" borderId="0" xfId="7" applyFont="1" applyAlignment="1">
      <alignment vertical="center"/>
    </xf>
    <xf numFmtId="170" fontId="37" fillId="0" borderId="0" xfId="7" applyNumberFormat="1" applyFont="1" applyAlignment="1">
      <alignment vertical="center"/>
    </xf>
    <xf numFmtId="195" fontId="4" fillId="0" borderId="5" xfId="66" applyNumberFormat="1">
      <alignment vertical="center"/>
      <protection locked="0"/>
    </xf>
    <xf numFmtId="0" fontId="16" fillId="0" borderId="0" xfId="28" applyAlignment="1">
      <alignment horizontal="left" vertical="center"/>
    </xf>
    <xf numFmtId="0" fontId="13" fillId="4" borderId="6" xfId="22" applyNumberFormat="1" applyAlignment="1">
      <alignment horizontal="center" vertical="center"/>
      <protection locked="0"/>
    </xf>
    <xf numFmtId="39" fontId="7" fillId="8" borderId="0" xfId="4" applyNumberFormat="1">
      <alignment vertical="center"/>
    </xf>
    <xf numFmtId="2" fontId="4" fillId="0" borderId="10" xfId="59" applyNumberFormat="1" applyAlignment="1">
      <alignment horizontal="center" vertical="center"/>
      <protection locked="0"/>
    </xf>
    <xf numFmtId="197" fontId="0" fillId="0" borderId="6" xfId="23" applyNumberFormat="1" applyFont="1" applyAlignment="1">
      <alignment horizontal="center" vertical="center"/>
      <protection locked="0"/>
    </xf>
    <xf numFmtId="0" fontId="4" fillId="10" borderId="0" xfId="33" applyFont="1" applyAlignment="1">
      <alignment horizontal="center" vertical="center"/>
    </xf>
    <xf numFmtId="39" fontId="4" fillId="0" borderId="10" xfId="59" applyNumberFormat="1" applyAlignment="1">
      <alignment horizontal="center" vertical="center"/>
      <protection locked="0"/>
    </xf>
    <xf numFmtId="199" fontId="0" fillId="0" borderId="0" xfId="0" applyNumberFormat="1">
      <alignment vertical="center"/>
    </xf>
    <xf numFmtId="0" fontId="13" fillId="0" borderId="6" xfId="22" applyNumberFormat="1" applyFill="1" applyAlignment="1">
      <alignment horizontal="center" vertical="center"/>
      <protection locked="0"/>
    </xf>
    <xf numFmtId="197" fontId="0" fillId="0" borderId="6" xfId="23" applyNumberFormat="1" applyFont="1" applyFill="1" applyAlignment="1">
      <alignment horizontal="center" vertical="center"/>
      <protection locked="0"/>
    </xf>
    <xf numFmtId="170" fontId="7" fillId="8" borderId="13" xfId="4" applyNumberFormat="1" applyBorder="1">
      <alignment vertical="center"/>
    </xf>
    <xf numFmtId="2" fontId="0" fillId="0" borderId="6" xfId="23" applyNumberFormat="1" applyFont="1" applyFill="1" applyAlignment="1">
      <alignment horizontal="center" vertical="center"/>
      <protection locked="0"/>
    </xf>
    <xf numFmtId="2" fontId="0" fillId="0" borderId="25" xfId="23" applyNumberFormat="1" applyFont="1" applyBorder="1" applyAlignment="1">
      <alignment horizontal="center" vertical="center"/>
      <protection locked="0"/>
    </xf>
    <xf numFmtId="192" fontId="0" fillId="14" borderId="0" xfId="0" applyNumberFormat="1" applyFill="1">
      <alignment vertical="center"/>
    </xf>
    <xf numFmtId="0" fontId="4" fillId="19" borderId="6" xfId="23" applyFill="1" applyAlignment="1">
      <alignment horizontal="center" vertical="center"/>
      <protection locked="0"/>
    </xf>
    <xf numFmtId="0" fontId="4" fillId="19" borderId="5" xfId="21" applyFill="1" applyAlignment="1">
      <alignment horizontal="center" vertical="center"/>
      <protection locked="0"/>
    </xf>
    <xf numFmtId="39" fontId="7" fillId="19" borderId="0" xfId="4" applyNumberFormat="1" applyFill="1">
      <alignment vertical="center"/>
    </xf>
    <xf numFmtId="197" fontId="4" fillId="19" borderId="0" xfId="24" applyNumberFormat="1" applyFill="1" applyAlignment="1">
      <alignment horizontal="center" vertical="center"/>
    </xf>
    <xf numFmtId="197" fontId="0" fillId="19" borderId="6" xfId="23" applyNumberFormat="1" applyFont="1" applyFill="1" applyAlignment="1">
      <alignment horizontal="center" vertical="center"/>
      <protection locked="0"/>
    </xf>
    <xf numFmtId="0" fontId="7" fillId="0" borderId="0" xfId="0" applyFont="1" applyAlignment="1">
      <alignment horizontal="left" vertical="top" indent="1"/>
    </xf>
    <xf numFmtId="197" fontId="0" fillId="0" borderId="26" xfId="23" applyNumberFormat="1" applyFont="1" applyBorder="1" applyAlignment="1">
      <alignment horizontal="center" vertical="center"/>
      <protection locked="0"/>
    </xf>
    <xf numFmtId="197" fontId="4" fillId="14" borderId="0" xfId="24" applyNumberFormat="1" applyFill="1" applyAlignment="1">
      <alignment horizontal="center" vertical="center"/>
    </xf>
    <xf numFmtId="0" fontId="0" fillId="14" borderId="0" xfId="0" applyFill="1" applyAlignment="1">
      <alignment horizontal="center" vertical="center"/>
    </xf>
    <xf numFmtId="0" fontId="4" fillId="0" borderId="6" xfId="23" applyFill="1" applyAlignment="1">
      <alignment horizontal="center" vertical="center"/>
      <protection locked="0"/>
    </xf>
    <xf numFmtId="10" fontId="0" fillId="0" borderId="0" xfId="3" applyNumberFormat="1" applyFont="1" applyAlignment="1">
      <alignment vertical="center" wrapText="1"/>
    </xf>
    <xf numFmtId="170" fontId="4" fillId="19" borderId="6" xfId="23" applyNumberFormat="1" applyFill="1" applyAlignment="1">
      <alignment horizontal="center" vertical="center"/>
      <protection locked="0"/>
    </xf>
    <xf numFmtId="170" fontId="4" fillId="0" borderId="6" xfId="23" applyNumberFormat="1" applyAlignment="1">
      <alignment horizontal="center" vertical="center"/>
      <protection locked="0"/>
    </xf>
    <xf numFmtId="197" fontId="4" fillId="19" borderId="6" xfId="23" applyNumberFormat="1" applyFill="1" applyAlignment="1">
      <alignment horizontal="center" vertical="center"/>
      <protection locked="0"/>
    </xf>
    <xf numFmtId="197" fontId="4" fillId="0" borderId="6" xfId="23" applyNumberFormat="1" applyAlignment="1">
      <alignment horizontal="center" vertical="center"/>
      <protection locked="0"/>
    </xf>
    <xf numFmtId="3" fontId="4" fillId="5" borderId="0" xfId="24" applyNumberFormat="1">
      <alignment vertical="center"/>
    </xf>
    <xf numFmtId="3" fontId="4" fillId="0" borderId="6" xfId="23" applyNumberFormat="1">
      <alignment vertical="center"/>
      <protection locked="0"/>
    </xf>
    <xf numFmtId="189" fontId="4" fillId="5" borderId="0" xfId="24" applyNumberFormat="1" applyAlignment="1">
      <alignment vertical="center"/>
    </xf>
    <xf numFmtId="200" fontId="4" fillId="0" borderId="6" xfId="23" applyNumberFormat="1">
      <alignment vertical="center"/>
      <protection locked="0"/>
    </xf>
    <xf numFmtId="0" fontId="41" fillId="0" borderId="0" xfId="0" applyFont="1">
      <alignment vertical="center"/>
    </xf>
    <xf numFmtId="0" fontId="4" fillId="14" borderId="0" xfId="23" applyFill="1" applyBorder="1" applyProtection="1">
      <alignment vertical="center"/>
    </xf>
    <xf numFmtId="3" fontId="4" fillId="14" borderId="0" xfId="23" applyNumberFormat="1" applyFill="1" applyBorder="1">
      <alignment vertical="center"/>
      <protection locked="0"/>
    </xf>
    <xf numFmtId="3" fontId="7" fillId="8" borderId="0" xfId="4" applyNumberFormat="1">
      <alignment vertical="center"/>
    </xf>
    <xf numFmtId="10" fontId="4" fillId="0" borderId="13" xfId="3" applyNumberFormat="1" applyBorder="1" applyAlignment="1">
      <alignment vertical="center"/>
    </xf>
    <xf numFmtId="3" fontId="0" fillId="14" borderId="0" xfId="23" applyNumberFormat="1" applyFont="1" applyFill="1" applyBorder="1">
      <alignment vertical="center"/>
      <protection locked="0"/>
    </xf>
    <xf numFmtId="10" fontId="4" fillId="5" borderId="0" xfId="24" applyNumberFormat="1" applyAlignment="1">
      <alignment vertical="center"/>
    </xf>
    <xf numFmtId="9" fontId="4" fillId="5" borderId="0" xfId="24" applyNumberFormat="1" applyAlignment="1">
      <alignment vertical="center"/>
    </xf>
    <xf numFmtId="1" fontId="4" fillId="5" borderId="0" xfId="24" applyNumberFormat="1">
      <alignment vertical="center"/>
    </xf>
    <xf numFmtId="9" fontId="4" fillId="18" borderId="0" xfId="3" applyFill="1" applyAlignment="1">
      <alignment vertical="center"/>
    </xf>
    <xf numFmtId="3" fontId="4" fillId="8" borderId="0" xfId="4" applyNumberFormat="1" applyFont="1">
      <alignment vertical="center"/>
    </xf>
    <xf numFmtId="201" fontId="7" fillId="8" borderId="0" xfId="4" applyNumberFormat="1" applyAlignment="1">
      <alignment vertical="center"/>
    </xf>
    <xf numFmtId="10" fontId="4" fillId="0" borderId="6" xfId="23" applyNumberFormat="1" applyAlignment="1">
      <alignment vertical="center"/>
      <protection locked="0"/>
    </xf>
    <xf numFmtId="200" fontId="13" fillId="0" borderId="6" xfId="23" applyNumberFormat="1" applyFont="1">
      <alignment vertical="center"/>
      <protection locked="0"/>
    </xf>
    <xf numFmtId="3" fontId="4" fillId="14" borderId="6" xfId="23" applyNumberFormat="1" applyFill="1">
      <alignment vertical="center"/>
      <protection locked="0"/>
    </xf>
    <xf numFmtId="43" fontId="0" fillId="0" borderId="0" xfId="0" applyNumberFormat="1">
      <alignment vertical="center"/>
    </xf>
    <xf numFmtId="190" fontId="0" fillId="0" borderId="0" xfId="0" applyNumberFormat="1">
      <alignment vertical="center"/>
    </xf>
    <xf numFmtId="4" fontId="22" fillId="0" borderId="0" xfId="0" applyNumberFormat="1" applyFont="1">
      <alignment vertical="center"/>
    </xf>
    <xf numFmtId="171" fontId="0" fillId="0" borderId="0" xfId="2" applyFont="1" applyAlignment="1">
      <alignment vertical="center"/>
    </xf>
    <xf numFmtId="194" fontId="0" fillId="0" borderId="0" xfId="0" applyNumberFormat="1">
      <alignment vertical="center"/>
    </xf>
    <xf numFmtId="192" fontId="0" fillId="0" borderId="0" xfId="0" applyNumberFormat="1">
      <alignment vertical="center"/>
    </xf>
    <xf numFmtId="9" fontId="0" fillId="14" borderId="0" xfId="3" applyFont="1" applyFill="1" applyAlignment="1">
      <alignment vertical="center"/>
    </xf>
    <xf numFmtId="201" fontId="4" fillId="0" borderId="6" xfId="23" applyNumberFormat="1" applyAlignment="1">
      <alignment vertical="center"/>
      <protection locked="0"/>
    </xf>
    <xf numFmtId="0" fontId="7" fillId="14" borderId="0" xfId="28" applyFont="1" applyFill="1" applyAlignment="1">
      <alignment vertical="top" wrapText="1"/>
    </xf>
    <xf numFmtId="0" fontId="17" fillId="9" borderId="27" xfId="29" applyBorder="1">
      <alignment horizontal="center" vertical="top" wrapText="1"/>
    </xf>
    <xf numFmtId="43" fontId="4" fillId="0" borderId="6" xfId="1" applyBorder="1" applyAlignment="1" applyProtection="1">
      <alignment horizontal="center" vertical="center"/>
      <protection locked="0"/>
    </xf>
    <xf numFmtId="2" fontId="0" fillId="5" borderId="0" xfId="24" applyNumberFormat="1" applyFont="1">
      <alignment vertical="center"/>
    </xf>
    <xf numFmtId="0" fontId="9" fillId="0" borderId="0" xfId="21" applyFont="1" applyBorder="1">
      <alignment vertical="center"/>
      <protection locked="0"/>
    </xf>
    <xf numFmtId="43" fontId="7" fillId="20" borderId="0" xfId="1" applyFont="1" applyFill="1" applyAlignment="1">
      <alignment vertical="center"/>
    </xf>
    <xf numFmtId="0" fontId="7" fillId="0" borderId="5" xfId="21" applyFont="1" applyAlignment="1">
      <alignment horizontal="center" vertical="center"/>
      <protection locked="0"/>
    </xf>
    <xf numFmtId="0" fontId="0" fillId="21" borderId="6" xfId="23" applyFont="1" applyFill="1" applyAlignment="1">
      <alignment horizontal="center" vertical="center"/>
      <protection locked="0"/>
    </xf>
    <xf numFmtId="43" fontId="7" fillId="20" borderId="0" xfId="1" applyFont="1" applyFill="1" applyAlignment="1">
      <alignment horizontal="center" vertical="center"/>
    </xf>
    <xf numFmtId="10" fontId="4" fillId="0" borderId="28" xfId="3" applyNumberFormat="1" applyBorder="1" applyAlignment="1">
      <alignment vertical="center"/>
    </xf>
    <xf numFmtId="10" fontId="4" fillId="0" borderId="0" xfId="3" applyNumberFormat="1" applyBorder="1" applyAlignment="1">
      <alignment vertical="center"/>
    </xf>
    <xf numFmtId="0" fontId="17" fillId="11" borderId="12" xfId="54" applyBorder="1">
      <alignment horizontal="centerContinuous" vertical="top"/>
    </xf>
    <xf numFmtId="0" fontId="17" fillId="9" borderId="16" xfId="29" applyBorder="1">
      <alignment horizontal="center" vertical="top" wrapText="1"/>
    </xf>
    <xf numFmtId="0" fontId="4" fillId="0" borderId="0" xfId="23" applyBorder="1" applyAlignment="1">
      <alignment horizontal="left" vertical="center"/>
      <protection locked="0"/>
    </xf>
    <xf numFmtId="9" fontId="3" fillId="14" borderId="0" xfId="9" applyNumberFormat="1" applyFill="1" applyAlignment="1">
      <alignment vertical="center"/>
    </xf>
    <xf numFmtId="2" fontId="7" fillId="20" borderId="0" xfId="4" applyNumberFormat="1" applyFill="1" applyAlignment="1">
      <alignment horizontal="center" vertical="center"/>
    </xf>
    <xf numFmtId="10" fontId="4" fillId="0" borderId="13" xfId="3" applyNumberFormat="1" applyFill="1" applyBorder="1" applyAlignment="1">
      <alignment vertical="center"/>
    </xf>
    <xf numFmtId="3" fontId="4" fillId="0" borderId="13" xfId="3" applyNumberFormat="1" applyBorder="1" applyAlignment="1">
      <alignment vertical="center"/>
    </xf>
    <xf numFmtId="0" fontId="0" fillId="0" borderId="0" xfId="23" applyFont="1" applyFill="1" applyBorder="1" applyAlignment="1">
      <alignment horizontal="left" vertical="center"/>
      <protection locked="0"/>
    </xf>
    <xf numFmtId="9" fontId="1" fillId="0" borderId="0" xfId="9" applyNumberFormat="1" applyFont="1" applyFill="1" applyAlignment="1">
      <alignment vertical="center"/>
    </xf>
    <xf numFmtId="202" fontId="0" fillId="0" borderId="0" xfId="3" applyNumberFormat="1" applyFont="1" applyBorder="1" applyAlignment="1">
      <alignment vertical="center"/>
    </xf>
    <xf numFmtId="201" fontId="7" fillId="0" borderId="0" xfId="3" applyNumberFormat="1" applyFont="1" applyBorder="1" applyAlignment="1" applyProtection="1">
      <alignment vertical="center"/>
      <protection locked="0"/>
    </xf>
    <xf numFmtId="201" fontId="4" fillId="0" borderId="0" xfId="3" applyNumberFormat="1" applyBorder="1" applyAlignment="1">
      <alignment vertical="center"/>
    </xf>
    <xf numFmtId="0" fontId="42" fillId="0" borderId="0" xfId="58" applyFont="1" applyFill="1">
      <alignment vertical="center"/>
    </xf>
    <xf numFmtId="0" fontId="8" fillId="10" borderId="0" xfId="67" applyFont="1">
      <alignment vertical="center"/>
    </xf>
    <xf numFmtId="0" fontId="4" fillId="10" borderId="0" xfId="67" applyFont="1">
      <alignment vertical="center"/>
    </xf>
    <xf numFmtId="0" fontId="4" fillId="0" borderId="0" xfId="0" applyFont="1" applyAlignment="1"/>
    <xf numFmtId="0" fontId="43" fillId="0" borderId="10" xfId="59" applyFont="1">
      <alignment vertical="center"/>
      <protection locked="0"/>
    </xf>
    <xf numFmtId="0" fontId="17" fillId="23" borderId="30" xfId="68" applyFill="1" applyBorder="1" applyAlignment="1">
      <alignment horizontal="left" vertical="center"/>
    </xf>
    <xf numFmtId="0" fontId="17" fillId="23" borderId="0" xfId="68" applyFill="1" applyAlignment="1">
      <alignment vertical="center"/>
    </xf>
    <xf numFmtId="0" fontId="17" fillId="24" borderId="0" xfId="69">
      <alignment horizontal="center" vertical="top" wrapText="1"/>
    </xf>
    <xf numFmtId="0" fontId="17" fillId="24" borderId="20" xfId="69" applyBorder="1">
      <alignment horizontal="center" vertical="top" wrapText="1"/>
    </xf>
    <xf numFmtId="0" fontId="17" fillId="24" borderId="31" xfId="69" applyBorder="1" applyAlignment="1">
      <alignment horizontal="center" vertical="center" wrapText="1"/>
    </xf>
    <xf numFmtId="0" fontId="17" fillId="24" borderId="32" xfId="69" applyBorder="1" applyAlignment="1">
      <alignment horizontal="center" vertical="center" wrapText="1"/>
    </xf>
    <xf numFmtId="0" fontId="17" fillId="24" borderId="33" xfId="69" applyBorder="1" applyAlignment="1">
      <alignment horizontal="center" vertical="center" wrapText="1"/>
    </xf>
    <xf numFmtId="0" fontId="17" fillId="24" borderId="34" xfId="69" applyBorder="1" applyAlignment="1">
      <alignment horizontal="center" vertical="center" wrapText="1"/>
    </xf>
    <xf numFmtId="0" fontId="17" fillId="24" borderId="35" xfId="69" applyBorder="1" applyAlignment="1">
      <alignment horizontal="center" vertical="center" wrapText="1"/>
    </xf>
    <xf numFmtId="0" fontId="44" fillId="0" borderId="0" xfId="0" applyFont="1" applyAlignment="1"/>
    <xf numFmtId="0" fontId="0" fillId="0" borderId="36" xfId="59" applyFont="1" applyBorder="1">
      <alignment vertical="center"/>
      <protection locked="0"/>
    </xf>
    <xf numFmtId="0" fontId="4" fillId="0" borderId="36" xfId="59" applyBorder="1">
      <alignment vertical="center"/>
      <protection locked="0"/>
    </xf>
    <xf numFmtId="0" fontId="0" fillId="0" borderId="37" xfId="59" applyFont="1" applyBorder="1">
      <alignment vertical="center"/>
      <protection locked="0"/>
    </xf>
    <xf numFmtId="0" fontId="4" fillId="0" borderId="4" xfId="64" applyAlignment="1">
      <alignment horizontal="center" vertical="center"/>
      <protection locked="0"/>
    </xf>
    <xf numFmtId="0" fontId="17" fillId="24" borderId="38" xfId="69" applyBorder="1">
      <alignment horizontal="center" vertical="top" wrapText="1"/>
    </xf>
    <xf numFmtId="0" fontId="17" fillId="24" borderId="16" xfId="69" applyBorder="1" applyAlignment="1">
      <alignment horizontal="center" vertical="center" wrapText="1"/>
    </xf>
    <xf numFmtId="0" fontId="17" fillId="24" borderId="27" xfId="69" applyBorder="1" applyAlignment="1">
      <alignment horizontal="center" vertical="center" wrapText="1"/>
    </xf>
    <xf numFmtId="0" fontId="14" fillId="14" borderId="0" xfId="0" applyFont="1" applyFill="1" applyAlignment="1">
      <alignment horizontal="center" vertical="center"/>
    </xf>
    <xf numFmtId="0" fontId="17" fillId="24" borderId="41" xfId="69" applyBorder="1">
      <alignment horizontal="center" vertical="top" wrapText="1"/>
    </xf>
    <xf numFmtId="0" fontId="17" fillId="24" borderId="42" xfId="69" applyBorder="1">
      <alignment horizontal="center" vertical="top" wrapText="1"/>
    </xf>
    <xf numFmtId="0" fontId="46" fillId="0" borderId="43" xfId="14" applyFont="1" applyBorder="1" applyAlignment="1">
      <alignment vertical="center"/>
    </xf>
    <xf numFmtId="0" fontId="0" fillId="0" borderId="44" xfId="0" applyBorder="1">
      <alignment vertical="center"/>
    </xf>
    <xf numFmtId="0" fontId="0" fillId="0" borderId="45" xfId="0" applyBorder="1">
      <alignment vertical="center"/>
    </xf>
    <xf numFmtId="0" fontId="47" fillId="14" borderId="0" xfId="70" applyNumberFormat="1" applyFont="1" applyFill="1" applyAlignment="1">
      <alignment vertical="center"/>
    </xf>
    <xf numFmtId="0" fontId="0" fillId="0" borderId="46" xfId="0" applyBorder="1">
      <alignment vertical="center"/>
    </xf>
    <xf numFmtId="0" fontId="48" fillId="14" borderId="0" xfId="0" applyFont="1" applyFill="1">
      <alignment vertical="center"/>
    </xf>
    <xf numFmtId="0" fontId="49" fillId="26" borderId="47" xfId="70" applyNumberFormat="1" applyFont="1" applyBorder="1" applyAlignment="1">
      <alignment vertical="center"/>
    </xf>
    <xf numFmtId="0" fontId="49" fillId="26" borderId="48" xfId="70" applyNumberFormat="1" applyFont="1" applyBorder="1" applyAlignment="1">
      <alignment vertical="center"/>
    </xf>
    <xf numFmtId="0" fontId="50" fillId="22" borderId="50" xfId="70" applyNumberFormat="1" applyFont="1" applyFill="1" applyBorder="1" applyAlignment="1">
      <alignment vertical="center"/>
    </xf>
    <xf numFmtId="0" fontId="50" fillId="22" borderId="51" xfId="70" applyNumberFormat="1" applyFont="1" applyFill="1" applyBorder="1" applyAlignment="1">
      <alignment vertical="center"/>
    </xf>
    <xf numFmtId="0" fontId="51" fillId="22" borderId="50" xfId="70" applyNumberFormat="1" applyFont="1" applyFill="1" applyBorder="1" applyAlignment="1">
      <alignment vertical="center" wrapText="1"/>
    </xf>
    <xf numFmtId="0" fontId="51" fillId="22" borderId="51" xfId="70" applyNumberFormat="1" applyFont="1" applyFill="1" applyBorder="1" applyAlignment="1">
      <alignment vertical="center" wrapText="1"/>
    </xf>
    <xf numFmtId="0" fontId="44" fillId="0" borderId="0" xfId="0" applyFont="1" applyAlignment="1">
      <alignment horizontal="center" vertical="center"/>
    </xf>
    <xf numFmtId="0" fontId="17" fillId="24" borderId="0" xfId="69" applyAlignment="1">
      <alignment horizontal="center" vertical="center" wrapText="1"/>
    </xf>
    <xf numFmtId="0" fontId="17" fillId="24" borderId="55" xfId="69" applyBorder="1" applyAlignment="1">
      <alignment horizontal="center" vertical="center" wrapText="1"/>
    </xf>
    <xf numFmtId="0" fontId="17" fillId="24" borderId="56" xfId="69" applyBorder="1" applyAlignment="1">
      <alignment horizontal="center" vertical="center" wrapText="1"/>
    </xf>
    <xf numFmtId="0" fontId="17" fillId="24" borderId="24" xfId="69" applyBorder="1" applyAlignment="1">
      <alignment horizontal="center" vertical="center" wrapText="1"/>
    </xf>
    <xf numFmtId="0" fontId="17" fillId="24" borderId="57" xfId="69" applyBorder="1" applyAlignment="1">
      <alignment horizontal="center" vertical="center" wrapText="1"/>
    </xf>
    <xf numFmtId="0" fontId="17" fillId="24" borderId="58" xfId="69" applyBorder="1" applyAlignment="1">
      <alignment horizontal="center" vertical="center" wrapText="1"/>
    </xf>
    <xf numFmtId="0" fontId="17" fillId="24" borderId="59" xfId="69" applyBorder="1" applyAlignment="1">
      <alignment vertical="center" wrapText="1"/>
    </xf>
    <xf numFmtId="0" fontId="17" fillId="24" borderId="59" xfId="69" applyBorder="1" applyAlignment="1">
      <alignment horizontal="center" vertical="center" wrapText="1"/>
    </xf>
    <xf numFmtId="0" fontId="4" fillId="0" borderId="10" xfId="59" applyAlignment="1">
      <alignment horizontal="center" vertical="center"/>
      <protection locked="0"/>
    </xf>
    <xf numFmtId="0" fontId="17" fillId="17" borderId="0" xfId="69" applyFill="1" applyAlignment="1">
      <alignment vertical="center" wrapText="1"/>
    </xf>
    <xf numFmtId="0" fontId="32" fillId="11" borderId="0" xfId="0" applyFont="1" applyFill="1" applyAlignment="1">
      <alignment horizontal="center" wrapText="1"/>
    </xf>
    <xf numFmtId="0" fontId="9" fillId="14" borderId="0" xfId="0" applyFont="1" applyFill="1">
      <alignment vertical="center"/>
    </xf>
    <xf numFmtId="0" fontId="17" fillId="24" borderId="14" xfId="69" applyBorder="1">
      <alignment horizontal="center" vertical="top" wrapText="1"/>
    </xf>
    <xf numFmtId="0" fontId="17" fillId="24" borderId="64" xfId="69" applyBorder="1" applyAlignment="1">
      <alignment horizontal="center" vertical="center" wrapText="1"/>
    </xf>
    <xf numFmtId="0" fontId="17" fillId="24" borderId="65" xfId="69" applyBorder="1" applyAlignment="1">
      <alignment horizontal="center" vertical="center" wrapText="1"/>
    </xf>
    <xf numFmtId="0" fontId="17" fillId="24" borderId="55" xfId="69" applyBorder="1">
      <alignment horizontal="center" vertical="top" wrapText="1"/>
    </xf>
    <xf numFmtId="0" fontId="17" fillId="24" borderId="31" xfId="69" applyBorder="1">
      <alignment horizontal="center" vertical="top" wrapText="1"/>
    </xf>
    <xf numFmtId="0" fontId="17" fillId="24" borderId="40" xfId="69" applyBorder="1">
      <alignment horizontal="center" vertical="top" wrapText="1"/>
    </xf>
    <xf numFmtId="0" fontId="54" fillId="0" borderId="0" xfId="59" applyFont="1" applyBorder="1">
      <alignment vertical="center"/>
      <protection locked="0"/>
    </xf>
    <xf numFmtId="0" fontId="4" fillId="0" borderId="0" xfId="52" applyFont="1" applyAlignment="1">
      <alignment vertical="center"/>
    </xf>
    <xf numFmtId="0" fontId="8" fillId="0" borderId="43" xfId="14" applyBorder="1" applyAlignment="1">
      <alignment vertical="center"/>
    </xf>
    <xf numFmtId="0" fontId="7" fillId="26" borderId="43" xfId="14" applyFont="1" applyFill="1" applyBorder="1" applyAlignment="1">
      <alignment vertical="center"/>
    </xf>
    <xf numFmtId="0" fontId="7" fillId="26" borderId="62" xfId="14" applyFont="1" applyFill="1" applyBorder="1" applyAlignment="1">
      <alignment vertical="center" wrapText="1"/>
    </xf>
    <xf numFmtId="0" fontId="7" fillId="26" borderId="62" xfId="14" applyFont="1" applyFill="1" applyBorder="1" applyAlignment="1">
      <alignment horizontal="center" vertical="center" wrapText="1"/>
    </xf>
    <xf numFmtId="0" fontId="17" fillId="24" borderId="67" xfId="69" applyBorder="1">
      <alignment horizontal="center" vertical="top" wrapText="1"/>
    </xf>
    <xf numFmtId="0" fontId="4" fillId="0" borderId="10" xfId="59" applyAlignment="1">
      <alignment vertical="center"/>
      <protection locked="0"/>
    </xf>
    <xf numFmtId="0" fontId="7" fillId="28" borderId="43" xfId="14" applyFont="1" applyFill="1" applyBorder="1" applyAlignment="1">
      <alignment vertical="center"/>
    </xf>
    <xf numFmtId="0" fontId="7" fillId="28" borderId="62" xfId="14" applyFont="1" applyFill="1" applyBorder="1" applyAlignment="1">
      <alignment vertical="center" wrapText="1"/>
    </xf>
    <xf numFmtId="0" fontId="7" fillId="28" borderId="62" xfId="14" applyFont="1" applyFill="1" applyBorder="1" applyAlignment="1">
      <alignment horizontal="center" vertical="center" wrapText="1"/>
    </xf>
    <xf numFmtId="0" fontId="7" fillId="29" borderId="43" xfId="14" applyFont="1" applyFill="1" applyBorder="1" applyAlignment="1">
      <alignment vertical="center" wrapText="1"/>
    </xf>
    <xf numFmtId="0" fontId="7" fillId="29" borderId="43" xfId="14" applyFont="1" applyFill="1" applyBorder="1" applyAlignment="1">
      <alignment vertical="center"/>
    </xf>
    <xf numFmtId="0" fontId="7" fillId="29" borderId="62" xfId="14" applyFont="1" applyFill="1" applyBorder="1" applyAlignment="1">
      <alignment vertical="center" wrapText="1"/>
    </xf>
    <xf numFmtId="0" fontId="7" fillId="29" borderId="62" xfId="14" applyFont="1" applyFill="1" applyBorder="1" applyAlignment="1">
      <alignment horizontal="center" vertical="center" wrapText="1"/>
    </xf>
    <xf numFmtId="0" fontId="7" fillId="29" borderId="62" xfId="14" applyFont="1" applyFill="1" applyBorder="1" applyAlignment="1">
      <alignment vertical="center"/>
    </xf>
    <xf numFmtId="0" fontId="17" fillId="24" borderId="63" xfId="69" applyBorder="1">
      <alignment horizontal="center" vertical="top" wrapText="1"/>
    </xf>
    <xf numFmtId="2" fontId="17" fillId="9" borderId="0" xfId="29" applyNumberFormat="1">
      <alignment horizontal="center" vertical="top" wrapText="1"/>
    </xf>
    <xf numFmtId="1" fontId="4" fillId="0" borderId="36" xfId="59" applyNumberFormat="1" applyBorder="1">
      <alignment vertical="center"/>
      <protection locked="0"/>
    </xf>
    <xf numFmtId="1" fontId="4" fillId="0" borderId="10" xfId="59" applyNumberFormat="1">
      <alignment vertical="center"/>
      <protection locked="0"/>
    </xf>
    <xf numFmtId="0" fontId="47" fillId="14" borderId="49" xfId="14" applyFont="1" applyFill="1" applyBorder="1" applyAlignment="1">
      <alignment vertical="center"/>
    </xf>
    <xf numFmtId="0" fontId="51" fillId="22" borderId="52" xfId="70" applyNumberFormat="1" applyFont="1" applyFill="1" applyBorder="1" applyAlignment="1">
      <alignment vertical="center" wrapText="1"/>
    </xf>
    <xf numFmtId="1" fontId="4" fillId="14" borderId="5" xfId="21" applyNumberFormat="1" applyFill="1" applyAlignment="1">
      <alignment horizontal="center" vertical="center" wrapText="1"/>
      <protection locked="0"/>
    </xf>
    <xf numFmtId="0" fontId="7" fillId="0" borderId="7" xfId="56" applyNumberFormat="1" applyFill="1" applyBorder="1" applyProtection="1">
      <alignment vertical="center"/>
      <protection locked="0"/>
    </xf>
    <xf numFmtId="0" fontId="7" fillId="0" borderId="7" xfId="56" applyNumberFormat="1" applyFill="1" applyBorder="1" applyAlignment="1" applyProtection="1">
      <alignment horizontal="center" vertical="center"/>
      <protection locked="0"/>
    </xf>
    <xf numFmtId="0" fontId="7" fillId="0" borderId="7" xfId="56" applyNumberFormat="1" applyFill="1" applyBorder="1">
      <alignment vertical="center"/>
    </xf>
    <xf numFmtId="201" fontId="7" fillId="0" borderId="7" xfId="56" applyNumberFormat="1" applyFill="1" applyBorder="1" applyProtection="1">
      <alignment vertical="center"/>
      <protection locked="0"/>
    </xf>
    <xf numFmtId="0" fontId="55" fillId="4" borderId="6" xfId="22" applyNumberFormat="1" applyFont="1">
      <alignment vertical="center"/>
      <protection locked="0"/>
    </xf>
    <xf numFmtId="201" fontId="7" fillId="12" borderId="0" xfId="57" applyNumberFormat="1" applyProtection="1">
      <alignment vertical="center"/>
      <protection locked="0"/>
    </xf>
    <xf numFmtId="0" fontId="17" fillId="17" borderId="0" xfId="29" applyFill="1">
      <alignment horizontal="center" vertical="top" wrapText="1"/>
    </xf>
    <xf numFmtId="1" fontId="32" fillId="0" borderId="0" xfId="1" applyNumberFormat="1" applyFont="1" applyAlignment="1">
      <alignment vertical="center"/>
    </xf>
    <xf numFmtId="0" fontId="56" fillId="0" borderId="0" xfId="0" applyFont="1" applyAlignment="1"/>
    <xf numFmtId="0" fontId="4" fillId="31" borderId="10" xfId="59" applyFill="1">
      <alignment vertical="center"/>
      <protection locked="0"/>
    </xf>
    <xf numFmtId="0" fontId="32" fillId="0" borderId="0" xfId="0" applyFont="1" applyAlignment="1"/>
    <xf numFmtId="0" fontId="7" fillId="0" borderId="0" xfId="0" applyFont="1" applyAlignment="1"/>
    <xf numFmtId="0" fontId="7" fillId="0" borderId="10" xfId="59" applyFont="1">
      <alignment vertical="center"/>
      <protection locked="0"/>
    </xf>
    <xf numFmtId="0" fontId="28" fillId="0" borderId="10" xfId="59" applyFont="1">
      <alignment vertical="center"/>
      <protection locked="0"/>
    </xf>
    <xf numFmtId="2" fontId="0" fillId="0" borderId="0" xfId="0" applyNumberFormat="1" applyAlignment="1"/>
    <xf numFmtId="2" fontId="4" fillId="0" borderId="0" xfId="52" applyNumberFormat="1" applyFont="1" applyAlignment="1">
      <alignment vertical="center"/>
    </xf>
    <xf numFmtId="0" fontId="0" fillId="0" borderId="0" xfId="0" applyAlignment="1">
      <alignment horizontal="left"/>
    </xf>
    <xf numFmtId="0" fontId="0" fillId="0" borderId="0" xfId="0" applyAlignment="1">
      <alignment horizontal="left" indent="1"/>
    </xf>
    <xf numFmtId="0" fontId="4" fillId="0" borderId="25" xfId="23" applyBorder="1" applyAlignment="1">
      <alignment horizontal="center" vertical="center"/>
      <protection locked="0"/>
    </xf>
    <xf numFmtId="0" fontId="4" fillId="0" borderId="0" xfId="23" applyBorder="1" applyAlignment="1">
      <alignment horizontal="center" vertical="center"/>
      <protection locked="0"/>
    </xf>
    <xf numFmtId="170" fontId="0" fillId="0" borderId="0" xfId="23" applyNumberFormat="1" applyFont="1" applyBorder="1">
      <alignment vertical="center"/>
      <protection locked="0"/>
    </xf>
    <xf numFmtId="37" fontId="0" fillId="0" borderId="0" xfId="23" applyNumberFormat="1" applyFont="1" applyBorder="1">
      <alignment vertical="center"/>
      <protection locked="0"/>
    </xf>
    <xf numFmtId="43" fontId="4" fillId="0" borderId="21" xfId="1" applyBorder="1" applyAlignment="1" applyProtection="1">
      <alignment vertical="center"/>
      <protection locked="0"/>
    </xf>
    <xf numFmtId="0" fontId="4" fillId="30" borderId="10" xfId="71" applyNumberFormat="1">
      <alignment vertical="center"/>
      <protection locked="0"/>
    </xf>
    <xf numFmtId="0" fontId="0" fillId="0" borderId="10" xfId="59" applyFont="1">
      <alignment vertical="center"/>
      <protection locked="0"/>
    </xf>
    <xf numFmtId="9" fontId="4" fillId="0" borderId="6" xfId="3" applyBorder="1" applyAlignment="1" applyProtection="1">
      <alignment vertical="center"/>
      <protection locked="0"/>
    </xf>
    <xf numFmtId="1" fontId="0" fillId="0" borderId="0" xfId="0" applyNumberFormat="1" applyAlignment="1">
      <alignment horizontal="center" vertical="center"/>
    </xf>
    <xf numFmtId="2" fontId="0" fillId="0" borderId="0" xfId="23" applyNumberFormat="1" applyFont="1" applyBorder="1" applyAlignment="1">
      <alignment horizontal="center" vertical="center"/>
      <protection locked="0"/>
    </xf>
    <xf numFmtId="197" fontId="0" fillId="0" borderId="0" xfId="23" applyNumberFormat="1" applyFont="1" applyBorder="1" applyAlignment="1">
      <alignment horizontal="center" vertical="center"/>
      <protection locked="0"/>
    </xf>
    <xf numFmtId="4" fontId="13" fillId="4" borderId="6" xfId="22" applyNumberFormat="1">
      <alignment vertical="center"/>
      <protection locked="0"/>
    </xf>
    <xf numFmtId="0" fontId="7" fillId="0" borderId="0" xfId="0" applyFont="1" applyAlignment="1">
      <alignment vertical="center"/>
    </xf>
    <xf numFmtId="0" fontId="9" fillId="3" borderId="10" xfId="59" applyFont="1" applyFill="1">
      <alignment vertical="center"/>
      <protection locked="0"/>
    </xf>
    <xf numFmtId="0" fontId="17" fillId="9" borderId="0" xfId="29">
      <alignment horizontal="center" vertical="top" wrapText="1"/>
    </xf>
    <xf numFmtId="191" fontId="13" fillId="32" borderId="6" xfId="22" applyNumberFormat="1" applyFill="1">
      <alignment vertical="center"/>
      <protection locked="0"/>
    </xf>
    <xf numFmtId="2" fontId="13" fillId="32" borderId="6" xfId="22" applyNumberFormat="1" applyFill="1">
      <alignment vertical="center"/>
      <protection locked="0"/>
    </xf>
    <xf numFmtId="10" fontId="13" fillId="32" borderId="6" xfId="22" applyNumberFormat="1" applyFill="1">
      <alignment vertical="center"/>
      <protection locked="0"/>
    </xf>
    <xf numFmtId="0" fontId="0" fillId="14" borderId="0" xfId="0" applyFill="1" applyAlignment="1">
      <alignment horizontal="left" vertical="top" wrapText="1"/>
    </xf>
    <xf numFmtId="0" fontId="0" fillId="14" borderId="0" xfId="0" applyFill="1" applyAlignment="1">
      <alignment horizontal="left" vertical="center" wrapText="1"/>
    </xf>
    <xf numFmtId="0" fontId="0" fillId="14" borderId="0" xfId="0" applyFill="1" applyAlignment="1">
      <alignment horizontal="center" vertical="center" wrapText="1"/>
    </xf>
    <xf numFmtId="0" fontId="0" fillId="14" borderId="0" xfId="62" applyFont="1" applyFill="1" applyAlignment="1">
      <alignment horizontal="left" vertical="center" wrapText="1"/>
    </xf>
    <xf numFmtId="0" fontId="4" fillId="14" borderId="0" xfId="62" applyFill="1" applyAlignment="1">
      <alignment horizontal="left" vertical="center" wrapText="1"/>
    </xf>
    <xf numFmtId="0" fontId="7" fillId="12" borderId="0" xfId="57" applyNumberFormat="1" applyAlignment="1">
      <alignment horizontal="center" vertical="top" wrapText="1"/>
    </xf>
    <xf numFmtId="0" fontId="17" fillId="9" borderId="0" xfId="29">
      <alignment horizontal="center" vertical="top" wrapText="1"/>
    </xf>
    <xf numFmtId="0" fontId="17" fillId="9" borderId="0" xfId="29" applyAlignment="1">
      <alignment horizontal="left" vertical="center" wrapText="1"/>
    </xf>
    <xf numFmtId="0" fontId="47" fillId="14" borderId="49" xfId="14" applyFont="1" applyFill="1" applyBorder="1" applyAlignment="1">
      <alignment horizontal="left" vertical="top"/>
    </xf>
    <xf numFmtId="0" fontId="32" fillId="11" borderId="62" xfId="0" applyFont="1" applyFill="1" applyBorder="1" applyAlignment="1">
      <alignment horizontal="center"/>
    </xf>
    <xf numFmtId="0" fontId="51" fillId="22" borderId="50" xfId="70" applyNumberFormat="1" applyFont="1" applyFill="1" applyBorder="1" applyAlignment="1">
      <alignment horizontal="center" vertical="center"/>
    </xf>
    <xf numFmtId="0" fontId="51" fillId="22" borderId="51" xfId="70" applyNumberFormat="1" applyFont="1" applyFill="1" applyBorder="1" applyAlignment="1">
      <alignment horizontal="center" vertical="center"/>
    </xf>
    <xf numFmtId="0" fontId="9" fillId="0" borderId="0" xfId="0" applyFont="1" applyAlignment="1">
      <alignment horizontal="left" vertical="center" wrapText="1"/>
    </xf>
    <xf numFmtId="0" fontId="9" fillId="0" borderId="29" xfId="0" applyFont="1" applyBorder="1" applyAlignment="1">
      <alignment horizontal="left" vertical="center" wrapText="1"/>
    </xf>
    <xf numFmtId="0" fontId="17" fillId="25" borderId="14" xfId="68" applyFill="1" applyBorder="1" applyAlignment="1">
      <alignment horizontal="center" vertical="top"/>
    </xf>
    <xf numFmtId="0" fontId="17" fillId="25" borderId="39" xfId="68" applyFill="1" applyBorder="1" applyAlignment="1">
      <alignment horizontal="center" vertical="top"/>
    </xf>
    <xf numFmtId="0" fontId="17" fillId="25" borderId="40" xfId="68" applyFill="1" applyBorder="1" applyAlignment="1">
      <alignment horizontal="center" vertical="top"/>
    </xf>
    <xf numFmtId="0" fontId="51" fillId="22" borderId="52" xfId="70" applyNumberFormat="1" applyFont="1" applyFill="1" applyBorder="1" applyAlignment="1">
      <alignment horizontal="center" vertical="center"/>
    </xf>
    <xf numFmtId="0" fontId="50" fillId="22" borderId="50" xfId="70" applyNumberFormat="1" applyFont="1" applyFill="1" applyBorder="1" applyAlignment="1">
      <alignment horizontal="center" vertical="center"/>
    </xf>
    <xf numFmtId="0" fontId="50" fillId="22" borderId="51" xfId="70" applyNumberFormat="1" applyFont="1" applyFill="1" applyBorder="1" applyAlignment="1">
      <alignment horizontal="center" vertical="center"/>
    </xf>
    <xf numFmtId="0" fontId="52" fillId="24" borderId="60" xfId="69" applyFont="1" applyBorder="1" applyAlignment="1">
      <alignment horizontal="center" vertical="center" wrapText="1"/>
    </xf>
    <xf numFmtId="0" fontId="52" fillId="24" borderId="61" xfId="69" applyFont="1" applyBorder="1" applyAlignment="1">
      <alignment horizontal="center" vertical="center" wrapText="1"/>
    </xf>
    <xf numFmtId="0" fontId="53" fillId="27" borderId="53" xfId="69" applyFont="1" applyFill="1" applyBorder="1" applyAlignment="1">
      <alignment horizontal="left" vertical="center" wrapText="1"/>
    </xf>
    <xf numFmtId="0" fontId="53" fillId="27" borderId="54" xfId="69" applyFont="1" applyFill="1" applyBorder="1" applyAlignment="1">
      <alignment horizontal="left" vertical="center" wrapText="1"/>
    </xf>
    <xf numFmtId="0" fontId="47" fillId="28" borderId="43" xfId="14" applyFont="1" applyFill="1" applyBorder="1" applyAlignment="1">
      <alignment horizontal="left" vertical="center"/>
    </xf>
    <xf numFmtId="0" fontId="47" fillId="28" borderId="44" xfId="14" applyFont="1" applyFill="1" applyBorder="1" applyAlignment="1">
      <alignment horizontal="left" vertical="center"/>
    </xf>
    <xf numFmtId="0" fontId="47" fillId="28" borderId="45" xfId="14" applyFont="1" applyFill="1" applyBorder="1" applyAlignment="1">
      <alignment horizontal="left" vertical="center"/>
    </xf>
    <xf numFmtId="0" fontId="47" fillId="29" borderId="43" xfId="14" applyFont="1" applyFill="1" applyBorder="1" applyAlignment="1">
      <alignment horizontal="left" vertical="center"/>
    </xf>
    <xf numFmtId="0" fontId="47" fillId="29" borderId="44" xfId="14" applyFont="1" applyFill="1" applyBorder="1" applyAlignment="1">
      <alignment horizontal="left" vertical="center"/>
    </xf>
    <xf numFmtId="0" fontId="17" fillId="24" borderId="0" xfId="69" applyAlignment="1">
      <alignment horizontal="center" vertical="center" wrapText="1"/>
    </xf>
    <xf numFmtId="0" fontId="17" fillId="24" borderId="63" xfId="69" applyBorder="1" applyAlignment="1">
      <alignment horizontal="center" vertical="center" wrapText="1"/>
    </xf>
    <xf numFmtId="0" fontId="17" fillId="24" borderId="38" xfId="69" applyBorder="1" applyAlignment="1">
      <alignment horizontal="center" vertical="center" wrapText="1"/>
    </xf>
    <xf numFmtId="0" fontId="17" fillId="24" borderId="40" xfId="69" applyBorder="1">
      <alignment horizontal="center" vertical="top" wrapText="1"/>
    </xf>
    <xf numFmtId="0" fontId="17" fillId="24" borderId="14" xfId="69" applyBorder="1">
      <alignment horizontal="center" vertical="top" wrapText="1"/>
    </xf>
    <xf numFmtId="0" fontId="17" fillId="24" borderId="39" xfId="69" applyBorder="1">
      <alignment horizontal="center" vertical="top" wrapText="1"/>
    </xf>
    <xf numFmtId="0" fontId="7" fillId="26" borderId="66" xfId="70" applyNumberFormat="1" applyBorder="1" applyAlignment="1">
      <alignment horizontal="center" vertical="center"/>
    </xf>
    <xf numFmtId="0" fontId="7" fillId="29" borderId="43" xfId="14" applyFont="1" applyFill="1" applyBorder="1" applyAlignment="1">
      <alignment horizontal="center" vertical="center"/>
    </xf>
    <xf numFmtId="0" fontId="7" fillId="29" borderId="44" xfId="14" applyFont="1" applyFill="1" applyBorder="1" applyAlignment="1">
      <alignment horizontal="center" vertical="center"/>
    </xf>
    <xf numFmtId="0" fontId="7" fillId="29" borderId="45" xfId="14" applyFont="1" applyFill="1" applyBorder="1" applyAlignment="1">
      <alignment horizontal="center" vertical="center"/>
    </xf>
    <xf numFmtId="0" fontId="57" fillId="0" borderId="0" xfId="52" applyFont="1" applyAlignment="1">
      <alignment vertical="top" wrapText="1"/>
    </xf>
    <xf numFmtId="0" fontId="7" fillId="26" borderId="43" xfId="14" applyFont="1" applyFill="1" applyBorder="1" applyAlignment="1">
      <alignment horizontal="center" vertical="center"/>
    </xf>
    <xf numFmtId="0" fontId="7" fillId="26" borderId="44" xfId="14" applyFont="1" applyFill="1" applyBorder="1" applyAlignment="1">
      <alignment horizontal="center" vertical="center"/>
    </xf>
    <xf numFmtId="0" fontId="7" fillId="26" borderId="45" xfId="14" applyFont="1" applyFill="1" applyBorder="1" applyAlignment="1">
      <alignment horizontal="center" vertical="center"/>
    </xf>
    <xf numFmtId="0" fontId="7" fillId="26" borderId="62" xfId="14" applyFont="1" applyFill="1" applyBorder="1" applyAlignment="1">
      <alignment horizontal="center" vertical="center"/>
    </xf>
    <xf numFmtId="0" fontId="7" fillId="28" borderId="43" xfId="14" applyFont="1" applyFill="1" applyBorder="1" applyAlignment="1">
      <alignment horizontal="center" vertical="center"/>
    </xf>
    <xf numFmtId="0" fontId="7" fillId="28" borderId="44" xfId="14" applyFont="1" applyFill="1" applyBorder="1" applyAlignment="1">
      <alignment horizontal="center" vertical="center"/>
    </xf>
    <xf numFmtId="0" fontId="7" fillId="28" borderId="45" xfId="14" applyFont="1" applyFill="1" applyBorder="1" applyAlignment="1">
      <alignment horizontal="center" vertical="center"/>
    </xf>
    <xf numFmtId="0" fontId="7" fillId="28" borderId="62" xfId="14" applyFont="1" applyFill="1" applyBorder="1" applyAlignment="1">
      <alignment horizontal="center" vertical="center"/>
    </xf>
    <xf numFmtId="0" fontId="7" fillId="29" borderId="62" xfId="14" applyFont="1" applyFill="1" applyBorder="1" applyAlignment="1">
      <alignment horizontal="center" vertical="center"/>
    </xf>
    <xf numFmtId="0" fontId="7" fillId="29" borderId="62" xfId="14" applyFont="1" applyFill="1" applyBorder="1" applyAlignment="1">
      <alignment horizontal="center" vertical="center" wrapText="1"/>
    </xf>
    <xf numFmtId="2" fontId="17" fillId="9" borderId="0" xfId="29" applyNumberFormat="1">
      <alignment horizontal="center" vertical="top" wrapText="1"/>
    </xf>
    <xf numFmtId="0" fontId="7" fillId="12" borderId="0" xfId="57" applyNumberFormat="1" applyAlignment="1">
      <alignment horizontal="center" vertical="center" wrapText="1"/>
    </xf>
    <xf numFmtId="0" fontId="14" fillId="7" borderId="0" xfId="26" applyAlignment="1">
      <alignment horizontal="center" vertical="top" wrapText="1"/>
    </xf>
    <xf numFmtId="3" fontId="13" fillId="32" borderId="6" xfId="22" applyNumberFormat="1" applyFill="1" applyAlignment="1">
      <alignment horizontal="center" vertical="center"/>
      <protection locked="0"/>
    </xf>
    <xf numFmtId="192" fontId="4" fillId="32" borderId="0" xfId="1" applyNumberFormat="1" applyFill="1" applyAlignment="1">
      <alignment horizontal="center" vertical="center"/>
    </xf>
    <xf numFmtId="3" fontId="4" fillId="32" borderId="10" xfId="59" applyNumberFormat="1" applyFill="1">
      <alignment vertical="center"/>
      <protection locked="0"/>
    </xf>
    <xf numFmtId="201" fontId="43" fillId="4" borderId="6" xfId="3" applyNumberFormat="1" applyFont="1" applyFill="1" applyBorder="1" applyAlignment="1" applyProtection="1">
      <alignment horizontal="center" vertical="center"/>
      <protection locked="0"/>
    </xf>
    <xf numFmtId="2" fontId="43" fillId="4" borderId="6" xfId="22" applyNumberFormat="1" applyFont="1" applyAlignment="1">
      <alignment horizontal="center" vertical="center"/>
      <protection locked="0"/>
    </xf>
    <xf numFmtId="0" fontId="17" fillId="9" borderId="0" xfId="29" applyNumberFormat="1">
      <alignment horizontal="center" vertical="top" wrapText="1"/>
    </xf>
    <xf numFmtId="0" fontId="29" fillId="33" borderId="10" xfId="59" applyFont="1" applyFill="1" applyAlignment="1">
      <alignment horizontal="center" vertical="center"/>
      <protection locked="0"/>
    </xf>
    <xf numFmtId="0" fontId="4" fillId="32" borderId="10" xfId="59" applyFill="1">
      <alignment vertical="center"/>
      <protection locked="0"/>
    </xf>
    <xf numFmtId="0" fontId="4" fillId="32" borderId="36" xfId="59" applyFill="1" applyBorder="1">
      <alignment vertical="center"/>
      <protection locked="0"/>
    </xf>
    <xf numFmtId="0" fontId="4" fillId="32" borderId="10" xfId="59" applyFill="1" applyAlignment="1">
      <alignment vertical="center"/>
      <protection locked="0"/>
    </xf>
    <xf numFmtId="2" fontId="4" fillId="32" borderId="10" xfId="59" applyNumberFormat="1" applyFill="1">
      <alignment vertical="center"/>
      <protection locked="0"/>
    </xf>
    <xf numFmtId="0" fontId="58" fillId="0" borderId="0" xfId="28" applyFont="1">
      <alignment vertical="center"/>
    </xf>
  </cellXfs>
  <cellStyles count="72">
    <cellStyle name="Cálculo" xfId="5" builtinId="22"/>
    <cellStyle name="Checksum" xfId="27" xr:uid="{8BE8097D-7B94-4F0F-9A65-B3E56A398B33}"/>
    <cellStyle name="Column label" xfId="69" xr:uid="{15B5F26B-1B71-4D54-8E0F-D35DC50B02C6}"/>
    <cellStyle name="Column label (no wrap)" xfId="68" xr:uid="{CB479BA0-0EBE-45B1-849B-7C6B1066ED37}"/>
    <cellStyle name="Columna" xfId="29" xr:uid="{D8402140-4F76-463E-A649-36ACB7A0979D}"/>
    <cellStyle name="Columna (izquierda)" xfId="53" xr:uid="{1BA2E540-5246-4432-B7DF-6CDA1450F96D}"/>
    <cellStyle name="Columna (sin negritas)" xfId="55" xr:uid="{BFC47EE5-5C3F-4A1E-A081-96708B61C04D}"/>
    <cellStyle name="Columna 2" xfId="54" xr:uid="{912C8F29-38B1-4F16-AEBE-642764BBC3DD}"/>
    <cellStyle name="Currency (2dp)" xfId="32" xr:uid="{83CBBD0F-63E8-4F85-80A7-796927EA7C51}"/>
    <cellStyle name="Currency Dollar" xfId="43" xr:uid="{EE994F9D-A81F-40BC-A8CA-00C59C1AE8A1}"/>
    <cellStyle name="Currency Dollar (2dp)" xfId="44" xr:uid="{4FFE164B-27BC-42E2-9CDA-16CC52B3B661}"/>
    <cellStyle name="Currency EUR" xfId="37" xr:uid="{72BE7591-08C9-4978-8A57-A21C2D342BFF}"/>
    <cellStyle name="Currency EUR (2dp)" xfId="38" xr:uid="{981B1A47-0CCD-42C4-94AF-72E1ADF21534}"/>
    <cellStyle name="Currency Euro" xfId="39" xr:uid="{DCAC6791-B49D-43E6-B4AE-63C41B6C9D46}"/>
    <cellStyle name="Currency Euro (2dp)" xfId="40" xr:uid="{6F734C4D-BEEC-4776-9FDD-F684EB35941E}"/>
    <cellStyle name="Currency GBP" xfId="45" xr:uid="{612C1DB0-C091-48FF-807A-E272E6AF92CC}"/>
    <cellStyle name="Currency GBP (2dp)" xfId="46" xr:uid="{886B4B8D-4FAC-4E35-9026-40CD9583EE24}"/>
    <cellStyle name="Currency Pound" xfId="47" xr:uid="{F12E68D9-B93C-462A-BF73-5BBBAEE3767F}"/>
    <cellStyle name="Currency Pound (2dp)" xfId="48" xr:uid="{DCF9C8F1-00B6-4CA9-964F-9DDDBB5E8B55}"/>
    <cellStyle name="Currency USD" xfId="41" xr:uid="{B444373A-2B0E-4337-BE37-9B1D225B9439}"/>
    <cellStyle name="Currency USD (2dp)" xfId="42" xr:uid="{99AD63FD-C872-45AF-8856-E49DB2CDF505}"/>
    <cellStyle name="Date" xfId="15" xr:uid="{2C92B84A-5D25-4AED-8B22-F61BBAE1AF55}"/>
    <cellStyle name="Date (Month)" xfId="49" xr:uid="{6C012191-352E-474A-9B4F-9AFF35B2B9B9}"/>
    <cellStyle name="Date (Year)" xfId="50" xr:uid="{778CCA17-B20C-41C9-9DD5-0DD4E1B4071D}"/>
    <cellStyle name="Dato Calculo" xfId="23" xr:uid="{FE0A7D11-9464-4477-870F-B70AF62F420B}"/>
    <cellStyle name="Dato de entrada" xfId="17" xr:uid="{C586D6E0-9C5D-4CBB-B553-EEC3F3583C8D}"/>
    <cellStyle name="Dato Entrada" xfId="21" xr:uid="{EA8CC645-1A28-4FD1-8E2E-E00707478E60}"/>
    <cellStyle name="Dato entrada 2" xfId="61" xr:uid="{CD835D9C-ED47-4CF3-879A-034439EA4CB0}"/>
    <cellStyle name="Dato Entrada 2 3" xfId="66" xr:uid="{EA2F2750-539E-4DC6-9D4C-552E20F2698F}"/>
    <cellStyle name="Datos de otra hoja" xfId="24" xr:uid="{D1255F12-4DEF-49CD-BC2F-875FB14C1D85}"/>
    <cellStyle name="Datos de otro libro" xfId="25" xr:uid="{01B74453-6CA2-46F8-A69E-945CB2D8FDA9}"/>
    <cellStyle name="Datos estimados" xfId="22" xr:uid="{64DECE90-C2E8-44F2-B98F-9D23C366505A}"/>
    <cellStyle name="Datos Externos" xfId="26" xr:uid="{DE44B458-D480-46F2-B454-60452FECD78A}"/>
    <cellStyle name="Énfasis5" xfId="9" builtinId="45"/>
    <cellStyle name="H0" xfId="10" xr:uid="{E900A8CD-699B-4FA0-888E-54246505A11A}"/>
    <cellStyle name="H0 2" xfId="58" xr:uid="{94A549D2-78CD-4B38-B8AF-23311AA2CA8E}"/>
    <cellStyle name="H1" xfId="51" xr:uid="{8F5283F3-9E80-40A7-A1CE-9E9AD85D7256}"/>
    <cellStyle name="H2" xfId="11" xr:uid="{48F4398F-99BC-4559-8EF1-9B31270756B1}"/>
    <cellStyle name="H3" xfId="14" xr:uid="{077B4FFF-6F12-4FF5-AB9D-EC719469FB45}"/>
    <cellStyle name="H4" xfId="52" xr:uid="{3717907D-EACE-465D-99EC-F664B321C36A}"/>
    <cellStyle name="Highlight" xfId="16" xr:uid="{B838B0A9-61F0-4329-B884-FCA2B95C5FCE}"/>
    <cellStyle name="Hipervínculo" xfId="60" builtinId="8"/>
    <cellStyle name="Input data" xfId="59" xr:uid="{6FD1A325-68AA-457D-A968-80A4A17B1BC8}"/>
    <cellStyle name="Input data 2" xfId="65" xr:uid="{98678125-1669-4AD0-A764-7F8864741F98}"/>
    <cellStyle name="Input estimate" xfId="71" xr:uid="{0F9710A6-67D9-462B-B3D1-D13182509255}"/>
    <cellStyle name="Input link" xfId="63" xr:uid="{1710A157-E7B9-4445-AD82-412BCA696E85}"/>
    <cellStyle name="Input link (different workbook)" xfId="62" xr:uid="{923B7B9C-2761-44E8-A5C9-27DD8F559D28}"/>
    <cellStyle name="Input parameter" xfId="64" xr:uid="{8989EFEE-AE38-45C4-BCFD-D67DB8BB3E9C}"/>
    <cellStyle name="Millares" xfId="1" builtinId="3"/>
    <cellStyle name="Moneda" xfId="2" builtinId="4"/>
    <cellStyle name="Nombre" xfId="28" xr:uid="{109E1218-D0C4-4B09-8D2F-9E68173A50B5}"/>
    <cellStyle name="Normal" xfId="0" builtinId="0"/>
    <cellStyle name="Notas" xfId="6" builtinId="10"/>
    <cellStyle name="Number" xfId="20" xr:uid="{FEC6A332-7E4A-4875-ADF3-C0174A2EF8D6}"/>
    <cellStyle name="Number (2dp)" xfId="30" xr:uid="{7BFB7235-3CFE-4E45-A28B-F53C00670CEB}"/>
    <cellStyle name="Percentage" xfId="34" xr:uid="{A33A7F05-0826-464B-8AB0-70CDE8C0B66D}"/>
    <cellStyle name="Percentage (2dp)" xfId="35" xr:uid="{A146815C-D30E-46F9-AFD6-2422FCEE9540}"/>
    <cellStyle name="Porcentaje" xfId="3" builtinId="5"/>
    <cellStyle name="Row label" xfId="12" xr:uid="{9324D72B-ABD3-4364-87C4-A0A867ACE4A1}"/>
    <cellStyle name="Row label (indent)" xfId="19" xr:uid="{CB4A7C23-EE29-4BFC-B9C8-DF51DAFBF328}"/>
    <cellStyle name="Salida" xfId="4" builtinId="21"/>
    <cellStyle name="Sub-total renglon" xfId="56" xr:uid="{0C3C19DB-9052-4197-82E4-BA4E8012F496}"/>
    <cellStyle name="Tabla renglon final" xfId="36" xr:uid="{3939246B-6601-4EA2-A6B3-C8CFD2EE0CCD}"/>
    <cellStyle name="Tabla sombreado" xfId="33" xr:uid="{751893DC-3EC3-45B0-BB77-D780F4D94393}"/>
    <cellStyle name="Table shading" xfId="67" xr:uid="{D02881E3-8EB1-4B69-B025-42B48CEA8FA0}"/>
    <cellStyle name="Table unshading" xfId="31" xr:uid="{1E55174E-133F-4634-8D90-1EBEF83BF6E2}"/>
    <cellStyle name="Text" xfId="13" xr:uid="{16E08D6D-EA3F-4DF8-A727-E67DFD11121C}"/>
    <cellStyle name="Texto explicativo" xfId="7" builtinId="53"/>
    <cellStyle name="Total" xfId="8" builtinId="25"/>
    <cellStyle name="Total renglon" xfId="57" xr:uid="{A313A68E-599D-4670-A186-EDFEAE4CF072}"/>
    <cellStyle name="Total row" xfId="70" xr:uid="{CAA07418-7C36-4853-B66C-28EAC2600CFF}"/>
    <cellStyle name="Unhighlight" xfId="18" xr:uid="{D712B0D1-EBB9-4B92-989B-F83201EA0241}"/>
  </cellStyles>
  <dxfs count="20">
    <dxf>
      <font>
        <color theme="2"/>
      </font>
      <fill>
        <patternFill>
          <bgColor theme="2"/>
        </patternFill>
      </fill>
    </dxf>
    <dxf>
      <font>
        <color theme="2"/>
      </font>
      <fill>
        <patternFill>
          <bgColor theme="2"/>
        </patternFill>
      </fill>
    </dxf>
    <dxf>
      <font>
        <color theme="2"/>
      </font>
      <fill>
        <patternFill>
          <bgColor theme="2"/>
        </patternFill>
      </fill>
    </dxf>
    <dxf>
      <font>
        <color theme="2"/>
      </font>
      <fill>
        <patternFill>
          <bgColor theme="2"/>
        </patternFill>
      </fill>
    </dxf>
    <dxf>
      <font>
        <color theme="2"/>
      </font>
      <fill>
        <patternFill>
          <bgColor theme="2"/>
        </patternFill>
      </fill>
    </dxf>
    <dxf>
      <font>
        <color theme="2"/>
      </font>
      <fill>
        <patternFill>
          <bgColor theme="2"/>
        </patternFill>
      </fill>
    </dxf>
    <dxf>
      <font>
        <color theme="2"/>
      </font>
      <fill>
        <patternFill>
          <bgColor theme="2"/>
        </patternFill>
      </fill>
    </dxf>
    <dxf>
      <font>
        <color theme="2"/>
      </font>
      <fill>
        <patternFill>
          <bgColor theme="2"/>
        </patternFill>
      </fill>
    </dxf>
    <dxf>
      <font>
        <color theme="2"/>
      </font>
      <fill>
        <patternFill>
          <bgColor theme="2"/>
        </patternFill>
      </fill>
    </dxf>
    <dxf>
      <font>
        <color theme="2"/>
      </font>
      <fill>
        <patternFill>
          <bgColor theme="2"/>
        </patternFill>
      </fill>
    </dxf>
    <dxf>
      <font>
        <color theme="2"/>
      </font>
      <fill>
        <patternFill>
          <bgColor theme="2"/>
        </patternFill>
      </fill>
    </dxf>
    <dxf>
      <font>
        <color theme="2"/>
      </font>
      <fill>
        <patternFill>
          <bgColor theme="2"/>
        </patternFill>
      </fill>
    </dxf>
    <dxf>
      <font>
        <color theme="2"/>
      </font>
      <fill>
        <patternFill>
          <bgColor theme="2"/>
        </patternFill>
      </fill>
    </dxf>
    <dxf>
      <font>
        <color theme="2"/>
      </font>
      <fill>
        <patternFill>
          <bgColor theme="2"/>
        </patternFill>
      </fill>
    </dxf>
    <dxf>
      <font>
        <color theme="2"/>
      </font>
      <fill>
        <patternFill>
          <bgColor theme="2"/>
        </patternFill>
      </fill>
    </dxf>
    <dxf>
      <font>
        <color theme="2"/>
      </font>
      <fill>
        <patternFill>
          <bgColor theme="2"/>
        </patternFill>
      </fill>
    </dxf>
    <dxf>
      <font>
        <color theme="2"/>
      </font>
      <fill>
        <patternFill>
          <bgColor theme="2"/>
        </patternFill>
      </fill>
    </dxf>
    <dxf>
      <font>
        <color theme="2"/>
      </font>
      <fill>
        <patternFill>
          <bgColor theme="2"/>
        </patternFill>
      </fill>
    </dxf>
    <dxf>
      <font>
        <color theme="2"/>
      </font>
      <fill>
        <patternFill>
          <bgColor theme="2"/>
        </patternFill>
      </fill>
    </dxf>
    <dxf>
      <font>
        <b/>
        <i/>
        <color rgb="FFFFFF00"/>
      </font>
      <fill>
        <patternFill>
          <bgColor rgb="FFC4123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8</xdr:col>
      <xdr:colOff>0</xdr:colOff>
      <xdr:row>0</xdr:row>
      <xdr:rowOff>0</xdr:rowOff>
    </xdr:from>
    <xdr:to>
      <xdr:col>13</xdr:col>
      <xdr:colOff>230778</xdr:colOff>
      <xdr:row>0</xdr:row>
      <xdr:rowOff>322398</xdr:rowOff>
    </xdr:to>
    <xdr:pic>
      <xdr:nvPicPr>
        <xdr:cNvPr id="2" name="Imagen 1">
          <a:extLst>
            <a:ext uri="{FF2B5EF4-FFF2-40B4-BE49-F238E27FC236}">
              <a16:creationId xmlns:a16="http://schemas.microsoft.com/office/drawing/2014/main" id="{13D55DE1-989D-414F-890D-3299DEE87963}"/>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87553" y="0"/>
          <a:ext cx="3685267" cy="330018"/>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0</xdr:colOff>
      <xdr:row>0</xdr:row>
      <xdr:rowOff>0</xdr:rowOff>
    </xdr:from>
    <xdr:to>
      <xdr:col>8</xdr:col>
      <xdr:colOff>473437</xdr:colOff>
      <xdr:row>0</xdr:row>
      <xdr:rowOff>326208</xdr:rowOff>
    </xdr:to>
    <xdr:pic>
      <xdr:nvPicPr>
        <xdr:cNvPr id="2" name="Imagen 1">
          <a:extLst>
            <a:ext uri="{FF2B5EF4-FFF2-40B4-BE49-F238E27FC236}">
              <a16:creationId xmlns:a16="http://schemas.microsoft.com/office/drawing/2014/main" id="{0C7ADA6B-433F-4B8A-93BD-69432519C8BA}"/>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37860" y="0"/>
          <a:ext cx="4567282" cy="326208"/>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11</xdr:col>
      <xdr:colOff>0</xdr:colOff>
      <xdr:row>0</xdr:row>
      <xdr:rowOff>0</xdr:rowOff>
    </xdr:from>
    <xdr:to>
      <xdr:col>14</xdr:col>
      <xdr:colOff>241637</xdr:colOff>
      <xdr:row>0</xdr:row>
      <xdr:rowOff>322398</xdr:rowOff>
    </xdr:to>
    <xdr:pic>
      <xdr:nvPicPr>
        <xdr:cNvPr id="2" name="Imagen 1">
          <a:extLst>
            <a:ext uri="{FF2B5EF4-FFF2-40B4-BE49-F238E27FC236}">
              <a16:creationId xmlns:a16="http://schemas.microsoft.com/office/drawing/2014/main" id="{B9C675AE-A6DD-46DA-A90F-4A93EBF7D071}"/>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6875" y="0"/>
          <a:ext cx="4558095" cy="322398"/>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8</xdr:col>
      <xdr:colOff>515030</xdr:colOff>
      <xdr:row>0</xdr:row>
      <xdr:rowOff>323033</xdr:rowOff>
    </xdr:to>
    <xdr:pic>
      <xdr:nvPicPr>
        <xdr:cNvPr id="2" name="Imagen 1">
          <a:extLst>
            <a:ext uri="{FF2B5EF4-FFF2-40B4-BE49-F238E27FC236}">
              <a16:creationId xmlns:a16="http://schemas.microsoft.com/office/drawing/2014/main" id="{5C184104-BA89-44E5-BE39-B114595E0808}"/>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93250" y="0"/>
          <a:ext cx="4563790" cy="330653"/>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8</xdr:col>
      <xdr:colOff>777692</xdr:colOff>
      <xdr:row>0</xdr:row>
      <xdr:rowOff>326843</xdr:rowOff>
    </xdr:to>
    <xdr:pic>
      <xdr:nvPicPr>
        <xdr:cNvPr id="2" name="Imagen 1">
          <a:extLst>
            <a:ext uri="{FF2B5EF4-FFF2-40B4-BE49-F238E27FC236}">
              <a16:creationId xmlns:a16="http://schemas.microsoft.com/office/drawing/2014/main" id="{E77FA9BB-9CAA-4CE0-9158-AC475FBBAFDA}"/>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154" y="0"/>
          <a:ext cx="4563790" cy="330653"/>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iftorgmx-my.sharepoint.com/personal/cesar_martinez_ift_org_mx/Documents/2025/Modelos%20de%20costos/3S.22.5-25.001.25/3.%20Actualizaci&#243;n/entregarequerimientodeinformaci&#243;nmce2026upr023_202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msbarqui/Documents/TMX/Prospectiva/Modelos/Req_OREDA_2026-2027/Worksheet%20-%20Entrega%20Requerimiento%20MCE%202024%20-%20079_2024%20chur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s"/>
      <sheetName val="C"/>
      <sheetName val="V"/>
      <sheetName val="S"/>
      <sheetName val="List"/>
      <sheetName val="P. 1 - 3"/>
      <sheetName val="P.4"/>
      <sheetName val="P.5"/>
      <sheetName val="P.6"/>
      <sheetName val="P.7"/>
    </sheetNames>
    <sheetDataSet>
      <sheetData sheetId="0">
        <row r="2">
          <cell r="A2" t="str">
            <v>Residencial</v>
          </cell>
        </row>
        <row r="3">
          <cell r="A3" t="str">
            <v>No residencial</v>
          </cell>
        </row>
        <row r="4">
          <cell r="A4" t="str">
            <v>Otro</v>
          </cell>
        </row>
        <row r="5">
          <cell r="A5" t="str">
            <v>Especifique modalidad</v>
          </cell>
        </row>
      </sheetData>
      <sheetData sheetId="1">
        <row r="5">
          <cell r="B5" t="str">
            <v>Workbook Title</v>
          </cell>
        </row>
        <row r="6">
          <cell r="B6" t="str">
            <v>Workbook Objective</v>
          </cell>
        </row>
        <row r="8">
          <cell r="B8" t="str">
            <v>Workbook Version</v>
          </cell>
        </row>
        <row r="9">
          <cell r="B9" t="str">
            <v>Under construction</v>
          </cell>
        </row>
        <row r="14">
          <cell r="B14" t="str">
            <v>Workbook Author</v>
          </cell>
        </row>
        <row r="15">
          <cell r="B15" t="str">
            <v>Workbook Author's Email Address</v>
          </cell>
        </row>
      </sheetData>
      <sheetData sheetId="2"/>
      <sheetData sheetId="3"/>
      <sheetData sheetId="4">
        <row r="5">
          <cell r="B5" t="str">
            <v>Telefonía fija</v>
          </cell>
        </row>
      </sheetData>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s"/>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5.bin"/><Relationship Id="rId1" Type="http://schemas.openxmlformats.org/officeDocument/2006/relationships/hyperlink" Target="https://www.clarovideo.com/fe/sitesplus/sk_telmex/html/esp/faqs.html"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downloads.telmex.com/pdf/ServiciosMercadoMasivo.pdf" TargetMode="External"/><Relationship Id="rId1" Type="http://schemas.openxmlformats.org/officeDocument/2006/relationships/hyperlink" Target="https://telmex.com/web/negocios/velocidades-simetricas"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2.xml"/></Relationships>
</file>

<file path=xl/worksheets/_rels/sheet8.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9.bin"/><Relationship Id="rId4" Type="http://schemas.openxmlformats.org/officeDocument/2006/relationships/comments" Target="../comments3.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12.bin"/><Relationship Id="rId4" Type="http://schemas.openxmlformats.org/officeDocument/2006/relationships/comments" Target="../comments4.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13.bin"/><Relationship Id="rId4"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30DC5-D9D3-4451-BEE4-BCD51846F269}">
  <sheetPr codeName="Hoja1">
    <outlinePr summaryBelow="0"/>
    <pageSetUpPr autoPageBreaks="0"/>
  </sheetPr>
  <dimension ref="A1:E35"/>
  <sheetViews>
    <sheetView showGridLines="0" defaultGridColor="0" colorId="22" zoomScale="70" zoomScaleNormal="70" zoomScaleSheetLayoutView="75" workbookViewId="0">
      <pane ySplit="19" topLeftCell="A20" activePane="bottomLeft" state="frozen"/>
      <selection activeCell="H120" sqref="H120"/>
      <selection pane="bottomLeft" activeCell="H120" sqref="H120"/>
    </sheetView>
  </sheetViews>
  <sheetFormatPr baseColWidth="10" defaultColWidth="12.875" defaultRowHeight="11.4" x14ac:dyDescent="0.2"/>
  <cols>
    <col min="1" max="4" width="16.875" style="7" customWidth="1"/>
    <col min="5" max="5" width="62.875" style="7" customWidth="1"/>
  </cols>
  <sheetData>
    <row r="1" spans="1:5" s="1" customFormat="1" ht="33.75" customHeight="1" x14ac:dyDescent="0.2">
      <c r="C1" s="2" t="s">
        <v>0</v>
      </c>
    </row>
    <row r="2" spans="1:5" s="3" customFormat="1" ht="12" customHeight="1" x14ac:dyDescent="0.2"/>
    <row r="3" spans="1:5" ht="17.399999999999999" x14ac:dyDescent="0.3">
      <c r="A3" s="4" t="s">
        <v>1</v>
      </c>
      <c r="B3"/>
      <c r="C3"/>
      <c r="D3"/>
      <c r="E3"/>
    </row>
    <row r="4" spans="1:5" ht="6" customHeight="1" x14ac:dyDescent="0.2">
      <c r="A4"/>
      <c r="B4"/>
      <c r="C4"/>
      <c r="D4"/>
      <c r="E4"/>
    </row>
    <row r="5" spans="1:5" ht="12" x14ac:dyDescent="0.2">
      <c r="A5" s="5" t="s">
        <v>2</v>
      </c>
      <c r="B5" s="6" t="s">
        <v>3</v>
      </c>
      <c r="C5"/>
      <c r="D5"/>
      <c r="E5"/>
    </row>
    <row r="6" spans="1:5" ht="12" x14ac:dyDescent="0.2">
      <c r="A6" s="5" t="s">
        <v>4</v>
      </c>
      <c r="B6" s="6" t="s">
        <v>5</v>
      </c>
      <c r="C6"/>
      <c r="D6"/>
      <c r="E6"/>
    </row>
    <row r="7" spans="1:5" ht="6" customHeight="1" x14ac:dyDescent="0.2">
      <c r="A7"/>
      <c r="B7"/>
      <c r="C7"/>
      <c r="D7"/>
      <c r="E7"/>
    </row>
    <row r="8" spans="1:5" ht="12" x14ac:dyDescent="0.2">
      <c r="A8" s="5" t="s">
        <v>6</v>
      </c>
      <c r="B8" s="6" t="s">
        <v>7</v>
      </c>
      <c r="C8"/>
      <c r="D8"/>
      <c r="E8"/>
    </row>
    <row r="9" spans="1:5" ht="12" x14ac:dyDescent="0.2">
      <c r="A9" s="5" t="s">
        <v>8</v>
      </c>
      <c r="B9" s="7" t="s">
        <v>9</v>
      </c>
      <c r="C9"/>
      <c r="D9"/>
      <c r="E9"/>
    </row>
    <row r="10" spans="1:5" ht="12" hidden="1" x14ac:dyDescent="0.2">
      <c r="A10" s="5"/>
      <c r="B10" s="7" t="s">
        <v>9</v>
      </c>
      <c r="C10"/>
      <c r="D10"/>
      <c r="E10"/>
    </row>
    <row r="11" spans="1:5" ht="12" hidden="1" x14ac:dyDescent="0.2">
      <c r="A11" s="5"/>
      <c r="B11" s="7" t="s">
        <v>10</v>
      </c>
      <c r="C11"/>
      <c r="D11"/>
      <c r="E11"/>
    </row>
    <row r="12" spans="1:5" ht="12" hidden="1" x14ac:dyDescent="0.2">
      <c r="A12" s="5"/>
      <c r="B12" s="7" t="s">
        <v>11</v>
      </c>
      <c r="C12"/>
      <c r="D12"/>
      <c r="E12"/>
    </row>
    <row r="13" spans="1:5" ht="12" hidden="1" x14ac:dyDescent="0.2">
      <c r="A13" s="5"/>
      <c r="B13" s="7" t="s">
        <v>12</v>
      </c>
      <c r="C13"/>
      <c r="D13"/>
      <c r="E13"/>
    </row>
    <row r="14" spans="1:5" ht="12" x14ac:dyDescent="0.2">
      <c r="A14" s="5" t="s">
        <v>13</v>
      </c>
      <c r="B14" s="6" t="s">
        <v>14</v>
      </c>
      <c r="C14"/>
      <c r="D14"/>
      <c r="E14"/>
    </row>
    <row r="15" spans="1:5" ht="12" x14ac:dyDescent="0.2">
      <c r="A15" s="5" t="s">
        <v>15</v>
      </c>
      <c r="B15" s="6" t="s">
        <v>16</v>
      </c>
      <c r="C15"/>
      <c r="D15"/>
      <c r="E15"/>
    </row>
    <row r="16" spans="1:5" ht="6" customHeight="1" x14ac:dyDescent="0.2">
      <c r="A16" s="5"/>
      <c r="B16" s="6"/>
      <c r="C16"/>
      <c r="D16"/>
      <c r="E16"/>
    </row>
    <row r="17" spans="1:5" ht="17.399999999999999" x14ac:dyDescent="0.3">
      <c r="A17" s="4" t="s">
        <v>0</v>
      </c>
      <c r="B17"/>
      <c r="C17"/>
      <c r="D17"/>
      <c r="E17"/>
    </row>
    <row r="18" spans="1:5" ht="6" customHeight="1" x14ac:dyDescent="0.2">
      <c r="A18"/>
      <c r="B18"/>
      <c r="C18"/>
      <c r="D18"/>
      <c r="E18"/>
    </row>
    <row r="19" spans="1:5" ht="15.6" x14ac:dyDescent="0.3">
      <c r="A19" s="8" t="s">
        <v>17</v>
      </c>
      <c r="B19" s="8" t="s">
        <v>18</v>
      </c>
      <c r="C19" s="9"/>
      <c r="D19" s="8" t="s">
        <v>8</v>
      </c>
      <c r="E19" s="8" t="s">
        <v>19</v>
      </c>
    </row>
    <row r="20" spans="1:5" x14ac:dyDescent="0.2">
      <c r="A20" s="7" t="s">
        <v>20</v>
      </c>
      <c r="B20" s="7" t="s">
        <v>21</v>
      </c>
      <c r="D20" s="7" t="s">
        <v>12</v>
      </c>
    </row>
    <row r="21" spans="1:5" x14ac:dyDescent="0.2">
      <c r="A21" s="7" t="s">
        <v>22</v>
      </c>
      <c r="B21" s="7" t="s">
        <v>23</v>
      </c>
      <c r="D21" s="7" t="s">
        <v>12</v>
      </c>
    </row>
    <row r="22" spans="1:5" x14ac:dyDescent="0.2">
      <c r="A22" s="7" t="s">
        <v>24</v>
      </c>
      <c r="B22" s="7" t="s">
        <v>25</v>
      </c>
      <c r="D22" s="7" t="s">
        <v>12</v>
      </c>
    </row>
    <row r="23" spans="1:5" x14ac:dyDescent="0.2">
      <c r="A23" s="7" t="s">
        <v>17</v>
      </c>
      <c r="B23" s="10" t="s">
        <v>26</v>
      </c>
      <c r="D23" s="7" t="s">
        <v>12</v>
      </c>
    </row>
    <row r="24" spans="1:5" x14ac:dyDescent="0.2">
      <c r="A24" s="11" t="s">
        <v>27</v>
      </c>
      <c r="B24" s="11"/>
      <c r="C24" s="11"/>
      <c r="D24" s="11"/>
      <c r="E24" s="11"/>
    </row>
    <row r="25" spans="1:5" x14ac:dyDescent="0.2">
      <c r="A25" s="12"/>
      <c r="B25" s="12"/>
      <c r="C25" s="12"/>
      <c r="D25" s="12"/>
      <c r="E25" s="12"/>
    </row>
    <row r="35" spans="3:3" x14ac:dyDescent="0.2">
      <c r="C35" s="12"/>
    </row>
  </sheetData>
  <dataValidations count="1">
    <dataValidation type="list" allowBlank="1" sqref="B9 D20:D23" xr:uid="{D4505CFA-ADE3-4FD2-B03D-FB12C14AFA72}">
      <formula1>$B$10:$B$13</formula1>
    </dataValidation>
  </dataValidations>
  <pageMargins left="0.70866141732283472" right="0.70866141732283472" top="0.51181102362204722" bottom="0.51181102362204722" header="0.51181102362204722" footer="0.35433070866141736"/>
  <pageSetup paperSize="9" orientation="landscape" horizontalDpi="4294967292" verticalDpi="4294967292" r:id="rId1"/>
  <headerFooter alignWithMargins="0">
    <oddFooter xml:space="preserve">&amp;L&amp;F : &amp;A&amp;CPrinted at &amp;T on &amp;D&amp;RCommercial in confidence © Analysys Mason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778B3-6F69-4F61-9757-AFEE9468DFB4}">
  <sheetPr codeName="Hoja2">
    <pageSetUpPr autoPageBreaks="0"/>
  </sheetPr>
  <dimension ref="A1:D15"/>
  <sheetViews>
    <sheetView showGridLines="0" defaultGridColor="0" colorId="22" zoomScale="70" zoomScaleNormal="70" zoomScaleSheetLayoutView="75" workbookViewId="0">
      <pane ySplit="15" topLeftCell="A16" activePane="bottomLeft" state="frozen"/>
      <selection activeCell="H120" sqref="H120"/>
      <selection pane="bottomLeft" activeCell="H120" sqref="H120"/>
    </sheetView>
  </sheetViews>
  <sheetFormatPr baseColWidth="10" defaultColWidth="12.875" defaultRowHeight="11.4" x14ac:dyDescent="0.2"/>
  <cols>
    <col min="1" max="1" width="16.625" style="17" customWidth="1"/>
    <col min="2" max="2" width="16.875" style="18" customWidth="1"/>
    <col min="3" max="3" width="16.875" style="17" customWidth="1"/>
    <col min="4" max="4" width="92.875" style="7" customWidth="1"/>
  </cols>
  <sheetData>
    <row r="1" spans="1:4" s="13" customFormat="1" ht="33.75" customHeight="1" x14ac:dyDescent="0.2">
      <c r="C1" s="14" t="s">
        <v>28</v>
      </c>
    </row>
    <row r="2" spans="1:4" ht="12" customHeight="1" x14ac:dyDescent="0.2">
      <c r="A2"/>
      <c r="B2"/>
      <c r="C2"/>
      <c r="D2"/>
    </row>
    <row r="3" spans="1:4" ht="17.399999999999999" x14ac:dyDescent="0.3">
      <c r="A3" s="4" t="s">
        <v>1</v>
      </c>
      <c r="B3"/>
      <c r="C3"/>
      <c r="D3"/>
    </row>
    <row r="4" spans="1:4" ht="6" customHeight="1" x14ac:dyDescent="0.2">
      <c r="A4"/>
      <c r="B4"/>
      <c r="C4"/>
      <c r="D4"/>
    </row>
    <row r="5" spans="1:4" ht="12" x14ac:dyDescent="0.2">
      <c r="A5" s="5" t="s">
        <v>2</v>
      </c>
      <c r="B5" s="7" t="str">
        <f>Workbook.Title</f>
        <v>Workbook Title</v>
      </c>
      <c r="C5"/>
      <c r="D5"/>
    </row>
    <row r="6" spans="1:4" ht="12" x14ac:dyDescent="0.2">
      <c r="A6" s="5" t="s">
        <v>4</v>
      </c>
      <c r="B6" s="7" t="str">
        <f>Workbook.Objective</f>
        <v>Workbook Objective</v>
      </c>
      <c r="C6"/>
      <c r="D6"/>
    </row>
    <row r="7" spans="1:4" x14ac:dyDescent="0.2">
      <c r="A7"/>
      <c r="B7"/>
      <c r="C7"/>
      <c r="D7"/>
    </row>
    <row r="8" spans="1:4" ht="12" x14ac:dyDescent="0.2">
      <c r="A8" s="5" t="s">
        <v>6</v>
      </c>
      <c r="B8" s="7" t="str">
        <f>Workbook.Version</f>
        <v>Workbook Version</v>
      </c>
      <c r="C8"/>
      <c r="D8"/>
    </row>
    <row r="9" spans="1:4" ht="12" x14ac:dyDescent="0.2">
      <c r="A9" s="5" t="s">
        <v>8</v>
      </c>
      <c r="B9" s="7" t="str">
        <f>Workbook.Status</f>
        <v>Under construction</v>
      </c>
      <c r="C9"/>
      <c r="D9"/>
    </row>
    <row r="10" spans="1:4" ht="12" x14ac:dyDescent="0.2">
      <c r="A10" s="5" t="s">
        <v>13</v>
      </c>
      <c r="B10" s="7" t="str">
        <f>Workbook.Author</f>
        <v>Workbook Author</v>
      </c>
      <c r="C10"/>
      <c r="D10"/>
    </row>
    <row r="11" spans="1:4" ht="12" x14ac:dyDescent="0.2">
      <c r="A11" s="5" t="s">
        <v>15</v>
      </c>
      <c r="B11" s="7" t="str">
        <f>Workbook.Authors_Email_Address</f>
        <v>Workbook Author's Email Address</v>
      </c>
      <c r="C11"/>
      <c r="D11"/>
    </row>
    <row r="12" spans="1:4" x14ac:dyDescent="0.2">
      <c r="A12"/>
      <c r="B12"/>
      <c r="C12"/>
      <c r="D12"/>
    </row>
    <row r="13" spans="1:4" ht="17.399999999999999" x14ac:dyDescent="0.3">
      <c r="A13" s="15" t="s">
        <v>29</v>
      </c>
      <c r="B13"/>
      <c r="C13"/>
      <c r="D13"/>
    </row>
    <row r="14" spans="1:4" ht="6" customHeight="1" x14ac:dyDescent="0.2">
      <c r="A14"/>
      <c r="B14"/>
      <c r="C14"/>
      <c r="D14"/>
    </row>
    <row r="15" spans="1:4" ht="15.6" x14ac:dyDescent="0.3">
      <c r="A15" s="16" t="s">
        <v>6</v>
      </c>
      <c r="B15" s="16" t="s">
        <v>30</v>
      </c>
      <c r="C15" s="16" t="s">
        <v>13</v>
      </c>
      <c r="D15" s="8" t="s">
        <v>31</v>
      </c>
    </row>
  </sheetData>
  <pageMargins left="0.70866141732283472" right="0.70866141732283472" top="0.51181102362204722" bottom="0.51181102362204722" header="0.51181102362204722" footer="0.35433070866141736"/>
  <pageSetup paperSize="9" orientation="landscape" horizontalDpi="4294967292" verticalDpi="4294967292" r:id="rId1"/>
  <headerFooter alignWithMargins="0">
    <oddFooter xml:space="preserve">&amp;L&amp;F : &amp;A&amp;CPrinted at &amp;T on &amp;D&amp;RCommercial in confidence © Analysys Mason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EFFB4-B67B-4F53-AA6A-E5245B2E3F62}">
  <sheetPr codeName="Hoja3">
    <outlinePr summaryBelow="0"/>
    <pageSetUpPr autoPageBreaks="0" fitToPage="1"/>
  </sheetPr>
  <dimension ref="A1:M144"/>
  <sheetViews>
    <sheetView showGridLines="0" defaultGridColor="0" colorId="22" zoomScale="85" zoomScaleNormal="85" workbookViewId="0">
      <pane ySplit="1" topLeftCell="A78" activePane="bottomLeft" state="frozen"/>
      <selection activeCell="H120" sqref="H120"/>
      <selection pane="bottomLeft" activeCell="H120" sqref="H120"/>
    </sheetView>
  </sheetViews>
  <sheetFormatPr baseColWidth="10" defaultColWidth="12.875" defaultRowHeight="11.4" x14ac:dyDescent="0.2"/>
  <cols>
    <col min="1" max="1" width="2.875" customWidth="1"/>
    <col min="2" max="2" width="26.625" customWidth="1"/>
  </cols>
  <sheetData>
    <row r="1" spans="1:13" s="19" customFormat="1" ht="33.75" customHeight="1" x14ac:dyDescent="0.2">
      <c r="C1" s="2" t="s">
        <v>32</v>
      </c>
    </row>
    <row r="2" spans="1:13" ht="12" customHeight="1" x14ac:dyDescent="0.2"/>
    <row r="3" spans="1:13" x14ac:dyDescent="0.2">
      <c r="A3" s="20" t="s">
        <v>33</v>
      </c>
    </row>
    <row r="4" spans="1:13" x14ac:dyDescent="0.2">
      <c r="A4" s="20" t="s">
        <v>34</v>
      </c>
    </row>
    <row r="6" spans="1:13" ht="17.399999999999999" x14ac:dyDescent="0.2">
      <c r="A6" s="21" t="s">
        <v>35</v>
      </c>
    </row>
    <row r="7" spans="1:13" ht="12" x14ac:dyDescent="0.2">
      <c r="A7" s="22" t="s">
        <v>36</v>
      </c>
      <c r="B7" s="23"/>
      <c r="C7" s="23"/>
      <c r="D7" s="23"/>
      <c r="E7" s="23"/>
    </row>
    <row r="8" spans="1:13" x14ac:dyDescent="0.2">
      <c r="A8" s="20" t="s">
        <v>37</v>
      </c>
    </row>
    <row r="10" spans="1:13" ht="12" x14ac:dyDescent="0.2">
      <c r="B10" s="24" t="s">
        <v>38</v>
      </c>
      <c r="C10" s="25">
        <v>100</v>
      </c>
      <c r="D10" s="20" t="s">
        <v>39</v>
      </c>
      <c r="E10" t="s">
        <v>40</v>
      </c>
    </row>
    <row r="12" spans="1:13" ht="12" x14ac:dyDescent="0.2">
      <c r="B12" s="24" t="s">
        <v>38</v>
      </c>
      <c r="C12" s="25">
        <v>250</v>
      </c>
      <c r="D12" s="20" t="s">
        <v>39</v>
      </c>
      <c r="E12" s="26" t="s">
        <v>41</v>
      </c>
      <c r="F12" s="26"/>
      <c r="G12" s="26"/>
      <c r="H12" s="26"/>
      <c r="I12" s="26"/>
      <c r="J12" s="26"/>
      <c r="K12" s="26"/>
    </row>
    <row r="13" spans="1:13" hidden="1" x14ac:dyDescent="0.2">
      <c r="B13" s="27" t="s">
        <v>42</v>
      </c>
      <c r="C13" s="28">
        <v>100</v>
      </c>
    </row>
    <row r="14" spans="1:13" hidden="1" x14ac:dyDescent="0.2">
      <c r="B14" s="27" t="s">
        <v>43</v>
      </c>
      <c r="C14" s="28">
        <v>300</v>
      </c>
    </row>
    <row r="16" spans="1:13" ht="12" x14ac:dyDescent="0.2">
      <c r="B16" s="24" t="s">
        <v>38</v>
      </c>
      <c r="C16" s="25">
        <v>300</v>
      </c>
      <c r="D16" s="20" t="s">
        <v>39</v>
      </c>
      <c r="E16" s="26" t="s">
        <v>44</v>
      </c>
      <c r="F16" s="26"/>
      <c r="G16" s="26"/>
      <c r="H16" s="26"/>
      <c r="I16" s="26"/>
      <c r="J16" s="26"/>
      <c r="K16" s="26"/>
      <c r="L16" s="26"/>
      <c r="M16" s="26"/>
    </row>
    <row r="17" spans="2:5" hidden="1" x14ac:dyDescent="0.2">
      <c r="B17" s="27" t="s">
        <v>45</v>
      </c>
      <c r="C17" s="28">
        <v>100</v>
      </c>
    </row>
    <row r="18" spans="2:5" hidden="1" x14ac:dyDescent="0.2">
      <c r="C18" s="28">
        <v>200</v>
      </c>
    </row>
    <row r="19" spans="2:5" hidden="1" x14ac:dyDescent="0.2">
      <c r="C19" s="28">
        <v>300</v>
      </c>
    </row>
    <row r="21" spans="2:5" ht="12" x14ac:dyDescent="0.2">
      <c r="B21" s="24" t="s">
        <v>46</v>
      </c>
      <c r="C21" s="29">
        <v>100</v>
      </c>
      <c r="D21" s="20" t="s">
        <v>39</v>
      </c>
      <c r="E21" t="s">
        <v>47</v>
      </c>
    </row>
    <row r="23" spans="2:5" ht="12" x14ac:dyDescent="0.2">
      <c r="B23" s="24" t="s">
        <v>48</v>
      </c>
      <c r="C23" s="30">
        <v>100</v>
      </c>
      <c r="D23" s="20" t="s">
        <v>39</v>
      </c>
      <c r="E23" t="s">
        <v>49</v>
      </c>
    </row>
    <row r="25" spans="2:5" ht="12" x14ac:dyDescent="0.2">
      <c r="B25" s="24" t="s">
        <v>50</v>
      </c>
      <c r="C25" s="31">
        <v>100</v>
      </c>
      <c r="D25" s="20" t="s">
        <v>51</v>
      </c>
      <c r="E25" t="s">
        <v>52</v>
      </c>
    </row>
    <row r="27" spans="2:5" ht="12" x14ac:dyDescent="0.2">
      <c r="B27" s="24" t="s">
        <v>53</v>
      </c>
      <c r="C27" s="32">
        <v>100</v>
      </c>
      <c r="D27" s="20" t="s">
        <v>51</v>
      </c>
      <c r="E27" t="s">
        <v>54</v>
      </c>
    </row>
    <row r="29" spans="2:5" ht="12" customHeight="1" x14ac:dyDescent="0.2">
      <c r="B29" s="24" t="s">
        <v>55</v>
      </c>
      <c r="C29" s="33">
        <v>100</v>
      </c>
      <c r="D29" s="20" t="s">
        <v>51</v>
      </c>
      <c r="E29" t="s">
        <v>56</v>
      </c>
    </row>
    <row r="31" spans="2:5" ht="12" customHeight="1" x14ac:dyDescent="0.2">
      <c r="B31" s="24" t="s">
        <v>57</v>
      </c>
      <c r="C31" s="34">
        <v>100</v>
      </c>
      <c r="D31" s="20" t="s">
        <v>51</v>
      </c>
      <c r="E31" t="s">
        <v>58</v>
      </c>
    </row>
    <row r="33" spans="1:11" ht="17.399999999999999" x14ac:dyDescent="0.2">
      <c r="A33" s="21" t="s">
        <v>59</v>
      </c>
    </row>
    <row r="34" spans="1:11" ht="12" x14ac:dyDescent="0.2">
      <c r="A34" s="22" t="s">
        <v>60</v>
      </c>
      <c r="B34" s="23"/>
      <c r="C34" s="23"/>
      <c r="D34" s="23"/>
      <c r="E34" s="23"/>
    </row>
    <row r="35" spans="1:11" x14ac:dyDescent="0.2">
      <c r="A35" s="20" t="s">
        <v>61</v>
      </c>
    </row>
    <row r="37" spans="1:11" ht="12" x14ac:dyDescent="0.2">
      <c r="B37" s="24" t="s">
        <v>62</v>
      </c>
      <c r="C37" s="35">
        <v>100</v>
      </c>
      <c r="D37" s="20" t="s">
        <v>51</v>
      </c>
      <c r="E37" t="s">
        <v>63</v>
      </c>
    </row>
    <row r="38" spans="1:11" x14ac:dyDescent="0.2">
      <c r="C38" s="35"/>
    </row>
    <row r="39" spans="1:11" ht="12" x14ac:dyDescent="0.2">
      <c r="B39" s="24" t="s">
        <v>64</v>
      </c>
      <c r="C39" s="36">
        <v>123.45</v>
      </c>
      <c r="E39" t="s">
        <v>65</v>
      </c>
    </row>
    <row r="41" spans="1:11" ht="12" x14ac:dyDescent="0.2">
      <c r="B41" s="24" t="s">
        <v>66</v>
      </c>
      <c r="C41" s="37">
        <v>0</v>
      </c>
      <c r="D41" s="20" t="s">
        <v>51</v>
      </c>
      <c r="E41" t="s">
        <v>67</v>
      </c>
      <c r="F41" s="26"/>
      <c r="G41" s="26"/>
      <c r="H41" s="26"/>
      <c r="I41" s="26"/>
      <c r="J41" s="26"/>
      <c r="K41" s="26"/>
    </row>
    <row r="43" spans="1:11" ht="12" x14ac:dyDescent="0.2">
      <c r="B43" s="24" t="s">
        <v>66</v>
      </c>
      <c r="C43" s="37">
        <v>0.1</v>
      </c>
      <c r="D43" s="20" t="s">
        <v>51</v>
      </c>
      <c r="E43" s="26" t="s">
        <v>68</v>
      </c>
      <c r="F43" s="26"/>
      <c r="G43" s="26"/>
      <c r="H43" s="26"/>
      <c r="I43" s="26"/>
      <c r="J43" s="26"/>
      <c r="K43" s="26"/>
    </row>
    <row r="45" spans="1:11" ht="12" x14ac:dyDescent="0.2">
      <c r="B45" s="24" t="s">
        <v>69</v>
      </c>
      <c r="C45" s="38">
        <v>100</v>
      </c>
      <c r="E45" t="s">
        <v>70</v>
      </c>
    </row>
    <row r="47" spans="1:11" ht="12" x14ac:dyDescent="0.2">
      <c r="B47" s="24" t="s">
        <v>71</v>
      </c>
      <c r="C47" s="39" t="s">
        <v>71</v>
      </c>
      <c r="D47" s="20" t="s">
        <v>51</v>
      </c>
      <c r="E47" t="s">
        <v>72</v>
      </c>
    </row>
    <row r="49" spans="1:10" ht="12" x14ac:dyDescent="0.2">
      <c r="B49" s="24" t="s">
        <v>73</v>
      </c>
      <c r="C49" s="40" t="s">
        <v>73</v>
      </c>
      <c r="E49" t="s">
        <v>74</v>
      </c>
    </row>
    <row r="51" spans="1:10" ht="12" x14ac:dyDescent="0.2">
      <c r="B51" s="24" t="s">
        <v>75</v>
      </c>
      <c r="C51" s="41">
        <v>100</v>
      </c>
      <c r="E51" t="s">
        <v>76</v>
      </c>
    </row>
    <row r="52" spans="1:10" ht="12" x14ac:dyDescent="0.2">
      <c r="B52" s="24"/>
    </row>
    <row r="53" spans="1:10" ht="12" x14ac:dyDescent="0.2">
      <c r="B53" s="24" t="s">
        <v>77</v>
      </c>
      <c r="C53" s="42">
        <v>100</v>
      </c>
      <c r="E53" t="s">
        <v>78</v>
      </c>
    </row>
    <row r="55" spans="1:10" ht="17.399999999999999" x14ac:dyDescent="0.2">
      <c r="A55" s="21" t="s">
        <v>79</v>
      </c>
    </row>
    <row r="56" spans="1:10" ht="12" x14ac:dyDescent="0.2">
      <c r="A56" s="22" t="s">
        <v>80</v>
      </c>
      <c r="B56" s="23"/>
      <c r="C56" s="23"/>
      <c r="D56" s="23"/>
      <c r="E56" s="23"/>
    </row>
    <row r="57" spans="1:10" x14ac:dyDescent="0.2">
      <c r="A57" s="20" t="s">
        <v>81</v>
      </c>
    </row>
    <row r="58" spans="1:10" x14ac:dyDescent="0.2">
      <c r="A58" s="20" t="s">
        <v>82</v>
      </c>
    </row>
    <row r="60" spans="1:10" ht="24" x14ac:dyDescent="0.2">
      <c r="B60" s="43"/>
      <c r="C60" s="43" t="s">
        <v>83</v>
      </c>
      <c r="D60" s="43" t="s">
        <v>84</v>
      </c>
      <c r="E60" s="43" t="s">
        <v>85</v>
      </c>
      <c r="F60" s="43" t="s">
        <v>86</v>
      </c>
      <c r="G60" s="43" t="s">
        <v>87</v>
      </c>
      <c r="H60" s="43" t="s">
        <v>88</v>
      </c>
      <c r="I60" s="43" t="s">
        <v>89</v>
      </c>
      <c r="J60" s="43" t="s">
        <v>90</v>
      </c>
    </row>
    <row r="61" spans="1:10" ht="12" x14ac:dyDescent="0.2">
      <c r="B61" s="24" t="s">
        <v>91</v>
      </c>
      <c r="C61" s="28">
        <v>1234.56</v>
      </c>
      <c r="D61" s="44">
        <v>123.45</v>
      </c>
      <c r="E61" s="45">
        <v>0.1234</v>
      </c>
      <c r="F61" s="46">
        <v>0.1234</v>
      </c>
      <c r="G61" s="47">
        <v>1234.56</v>
      </c>
      <c r="H61" s="48">
        <v>123.45</v>
      </c>
      <c r="I61" s="49">
        <v>1234.56</v>
      </c>
      <c r="J61" s="50">
        <v>0.1234</v>
      </c>
    </row>
    <row r="62" spans="1:10" ht="12" x14ac:dyDescent="0.2">
      <c r="B62" s="24" t="s">
        <v>92</v>
      </c>
      <c r="C62" s="28">
        <v>-1234.56</v>
      </c>
      <c r="D62" s="44">
        <v>-123.45</v>
      </c>
      <c r="E62" s="45">
        <v>-0.1234</v>
      </c>
      <c r="F62" s="46">
        <v>-0.1234</v>
      </c>
      <c r="G62" s="47">
        <v>-1234.56</v>
      </c>
      <c r="H62" s="48">
        <v>-123.45</v>
      </c>
      <c r="I62" s="49">
        <v>-1234.56</v>
      </c>
      <c r="J62" s="50">
        <v>-0.1234</v>
      </c>
    </row>
    <row r="63" spans="1:10" ht="12" x14ac:dyDescent="0.2">
      <c r="B63" s="24" t="s">
        <v>93</v>
      </c>
      <c r="C63" s="28">
        <v>0</v>
      </c>
      <c r="D63" s="44">
        <v>0</v>
      </c>
      <c r="E63" s="51">
        <v>0</v>
      </c>
      <c r="F63" s="52">
        <v>0</v>
      </c>
      <c r="G63" s="47">
        <v>0</v>
      </c>
      <c r="H63" s="48">
        <v>0</v>
      </c>
      <c r="I63" s="49">
        <v>0</v>
      </c>
      <c r="J63" s="50">
        <v>0</v>
      </c>
    </row>
    <row r="64" spans="1:10" ht="12.6" thickBot="1" x14ac:dyDescent="0.25">
      <c r="B64" s="24" t="s">
        <v>94</v>
      </c>
      <c r="C64" s="28" t="s">
        <v>94</v>
      </c>
      <c r="D64" s="44" t="s">
        <v>94</v>
      </c>
      <c r="E64" s="45" t="s">
        <v>94</v>
      </c>
      <c r="F64" s="46" t="s">
        <v>94</v>
      </c>
      <c r="G64" s="47" t="s">
        <v>94</v>
      </c>
      <c r="H64" s="48" t="s">
        <v>94</v>
      </c>
      <c r="I64" s="49" t="s">
        <v>94</v>
      </c>
      <c r="J64" s="50" t="s">
        <v>94</v>
      </c>
    </row>
    <row r="65" spans="2:10" x14ac:dyDescent="0.2">
      <c r="B65" s="53"/>
      <c r="C65" s="53"/>
      <c r="D65" s="53"/>
      <c r="E65" s="53"/>
      <c r="F65" s="53"/>
      <c r="G65" s="53"/>
      <c r="H65" s="53"/>
      <c r="I65" s="53"/>
      <c r="J65" s="53"/>
    </row>
    <row r="66" spans="2:10" ht="24" x14ac:dyDescent="0.2">
      <c r="B66" s="43"/>
      <c r="C66" s="43" t="s">
        <v>95</v>
      </c>
      <c r="D66" s="43" t="s">
        <v>96</v>
      </c>
      <c r="E66" s="43" t="s">
        <v>97</v>
      </c>
      <c r="F66" s="43" t="s">
        <v>98</v>
      </c>
    </row>
    <row r="67" spans="2:10" ht="12" x14ac:dyDescent="0.2">
      <c r="B67" s="24" t="s">
        <v>91</v>
      </c>
      <c r="C67" s="54">
        <v>1234.56</v>
      </c>
      <c r="D67" s="55">
        <v>123.45</v>
      </c>
      <c r="E67" s="56">
        <v>1234.56</v>
      </c>
      <c r="F67" s="57">
        <v>123.45</v>
      </c>
    </row>
    <row r="68" spans="2:10" ht="12" x14ac:dyDescent="0.2">
      <c r="B68" s="24" t="s">
        <v>92</v>
      </c>
      <c r="C68" s="54">
        <v>-1234.56</v>
      </c>
      <c r="D68" s="55">
        <v>-123.45</v>
      </c>
      <c r="E68" s="56">
        <v>-1234.56</v>
      </c>
      <c r="F68" s="57">
        <v>-123.45</v>
      </c>
    </row>
    <row r="69" spans="2:10" ht="12" x14ac:dyDescent="0.2">
      <c r="B69" s="24" t="s">
        <v>93</v>
      </c>
      <c r="C69" s="54">
        <v>0</v>
      </c>
      <c r="D69" s="55">
        <v>0</v>
      </c>
      <c r="E69" s="56">
        <v>0</v>
      </c>
      <c r="F69" s="57">
        <v>0</v>
      </c>
    </row>
    <row r="70" spans="2:10" ht="12.6" thickBot="1" x14ac:dyDescent="0.25">
      <c r="B70" s="24" t="s">
        <v>94</v>
      </c>
      <c r="C70" s="54" t="s">
        <v>94</v>
      </c>
      <c r="D70" s="55" t="s">
        <v>94</v>
      </c>
      <c r="E70" s="56" t="s">
        <v>94</v>
      </c>
      <c r="F70" s="57" t="s">
        <v>94</v>
      </c>
    </row>
    <row r="71" spans="2:10" x14ac:dyDescent="0.2">
      <c r="B71" s="53"/>
      <c r="C71" s="53"/>
      <c r="D71" s="53"/>
      <c r="E71" s="53"/>
      <c r="F71" s="53"/>
    </row>
    <row r="72" spans="2:10" ht="24" x14ac:dyDescent="0.2">
      <c r="B72" s="43"/>
      <c r="C72" s="43" t="s">
        <v>99</v>
      </c>
      <c r="D72" s="43" t="s">
        <v>100</v>
      </c>
      <c r="E72" s="43" t="s">
        <v>101</v>
      </c>
      <c r="F72" s="43" t="s">
        <v>102</v>
      </c>
    </row>
    <row r="73" spans="2:10" ht="12" x14ac:dyDescent="0.2">
      <c r="B73" s="24" t="s">
        <v>91</v>
      </c>
      <c r="C73" s="58">
        <v>1234.56</v>
      </c>
      <c r="D73" s="59">
        <v>123.45</v>
      </c>
      <c r="E73" s="60">
        <v>1234.56</v>
      </c>
      <c r="F73" s="61">
        <v>123.45</v>
      </c>
    </row>
    <row r="74" spans="2:10" ht="12" x14ac:dyDescent="0.2">
      <c r="B74" s="24" t="s">
        <v>92</v>
      </c>
      <c r="C74" s="58">
        <v>-1234.56</v>
      </c>
      <c r="D74" s="59">
        <v>-123.45</v>
      </c>
      <c r="E74" s="60">
        <v>-1234.56</v>
      </c>
      <c r="F74" s="61">
        <v>-123.45</v>
      </c>
    </row>
    <row r="75" spans="2:10" ht="12" x14ac:dyDescent="0.2">
      <c r="B75" s="24" t="s">
        <v>93</v>
      </c>
      <c r="C75" s="58">
        <v>0</v>
      </c>
      <c r="D75" s="59">
        <v>0</v>
      </c>
      <c r="E75" s="60">
        <v>0</v>
      </c>
      <c r="F75" s="61">
        <v>0</v>
      </c>
    </row>
    <row r="76" spans="2:10" ht="12.6" thickBot="1" x14ac:dyDescent="0.25">
      <c r="B76" s="24" t="s">
        <v>94</v>
      </c>
      <c r="C76" s="58" t="s">
        <v>94</v>
      </c>
      <c r="D76" s="59" t="s">
        <v>94</v>
      </c>
      <c r="E76" s="60" t="s">
        <v>94</v>
      </c>
      <c r="F76" s="61" t="s">
        <v>94</v>
      </c>
    </row>
    <row r="77" spans="2:10" x14ac:dyDescent="0.2">
      <c r="B77" s="53"/>
      <c r="C77" s="53"/>
      <c r="D77" s="53"/>
      <c r="E77" s="53"/>
      <c r="F77" s="53"/>
    </row>
    <row r="78" spans="2:10" ht="24" x14ac:dyDescent="0.2">
      <c r="B78" s="43"/>
      <c r="C78" s="43" t="s">
        <v>103</v>
      </c>
      <c r="D78" s="43" t="s">
        <v>104</v>
      </c>
      <c r="E78" s="43" t="s">
        <v>105</v>
      </c>
      <c r="F78" s="43" t="s">
        <v>106</v>
      </c>
    </row>
    <row r="79" spans="2:10" ht="12" x14ac:dyDescent="0.2">
      <c r="B79" s="24" t="s">
        <v>91</v>
      </c>
      <c r="C79" s="62">
        <v>1234.56</v>
      </c>
      <c r="D79" s="63">
        <v>123.45</v>
      </c>
      <c r="E79" s="64">
        <v>1234.56</v>
      </c>
      <c r="F79" s="65">
        <v>123.45</v>
      </c>
    </row>
    <row r="80" spans="2:10" ht="12" x14ac:dyDescent="0.2">
      <c r="B80" s="24" t="s">
        <v>92</v>
      </c>
      <c r="C80" s="62">
        <v>-1234.56</v>
      </c>
      <c r="D80" s="63">
        <v>-123.45</v>
      </c>
      <c r="E80" s="64">
        <v>-1234.56</v>
      </c>
      <c r="F80" s="65">
        <v>-123.45</v>
      </c>
    </row>
    <row r="81" spans="1:6" ht="12" x14ac:dyDescent="0.2">
      <c r="B81" s="24" t="s">
        <v>93</v>
      </c>
      <c r="C81" s="62">
        <v>0</v>
      </c>
      <c r="D81" s="63">
        <v>0</v>
      </c>
      <c r="E81" s="64">
        <v>0</v>
      </c>
      <c r="F81" s="65">
        <v>0</v>
      </c>
    </row>
    <row r="82" spans="1:6" ht="12.6" thickBot="1" x14ac:dyDescent="0.25">
      <c r="B82" s="24" t="s">
        <v>94</v>
      </c>
      <c r="C82" s="62" t="s">
        <v>94</v>
      </c>
      <c r="D82" s="63" t="s">
        <v>94</v>
      </c>
      <c r="E82" s="64" t="s">
        <v>94</v>
      </c>
      <c r="F82" s="65" t="s">
        <v>94</v>
      </c>
    </row>
    <row r="83" spans="1:6" x14ac:dyDescent="0.2">
      <c r="B83" s="53"/>
      <c r="C83" s="53"/>
      <c r="D83" s="53"/>
      <c r="E83" s="53"/>
      <c r="F83" s="53"/>
    </row>
    <row r="84" spans="1:6" ht="24" x14ac:dyDescent="0.2">
      <c r="B84" s="43"/>
      <c r="C84" s="43" t="s">
        <v>107</v>
      </c>
      <c r="D84" s="43" t="s">
        <v>108</v>
      </c>
      <c r="E84" s="43" t="s">
        <v>109</v>
      </c>
    </row>
    <row r="85" spans="1:6" ht="12.6" thickBot="1" x14ac:dyDescent="0.25">
      <c r="B85" s="24" t="s">
        <v>107</v>
      </c>
      <c r="C85" s="66">
        <v>37591</v>
      </c>
      <c r="D85" s="67">
        <v>37591</v>
      </c>
      <c r="E85" s="68">
        <v>37591</v>
      </c>
    </row>
    <row r="86" spans="1:6" x14ac:dyDescent="0.2">
      <c r="B86" s="53"/>
      <c r="C86" s="53"/>
      <c r="D86" s="53"/>
      <c r="E86" s="53"/>
    </row>
    <row r="87" spans="1:6" ht="17.399999999999999" x14ac:dyDescent="0.2">
      <c r="A87" s="21" t="s">
        <v>110</v>
      </c>
    </row>
    <row r="88" spans="1:6" ht="12" x14ac:dyDescent="0.2">
      <c r="A88" s="22" t="s">
        <v>111</v>
      </c>
      <c r="B88" s="23"/>
      <c r="C88" s="23"/>
      <c r="D88" s="23"/>
      <c r="E88" s="23"/>
    </row>
    <row r="89" spans="1:6" x14ac:dyDescent="0.2">
      <c r="A89" s="20" t="s">
        <v>112</v>
      </c>
    </row>
    <row r="90" spans="1:6" x14ac:dyDescent="0.2">
      <c r="A90" s="20"/>
    </row>
    <row r="91" spans="1:6" ht="28.2" x14ac:dyDescent="0.2">
      <c r="A91" s="20"/>
      <c r="B91" s="69" t="s">
        <v>113</v>
      </c>
      <c r="C91" s="69" t="s">
        <v>114</v>
      </c>
      <c r="D91" s="69"/>
      <c r="E91" t="s">
        <v>115</v>
      </c>
    </row>
    <row r="92" spans="1:6" x14ac:dyDescent="0.2">
      <c r="A92" s="20"/>
    </row>
    <row r="93" spans="1:6" ht="22.8" x14ac:dyDescent="0.2">
      <c r="A93" s="20"/>
      <c r="B93" s="70" t="s">
        <v>116</v>
      </c>
      <c r="C93" s="70" t="s">
        <v>117</v>
      </c>
      <c r="D93" s="70"/>
      <c r="E93" t="s">
        <v>118</v>
      </c>
    </row>
    <row r="95" spans="1:6" ht="17.399999999999999" x14ac:dyDescent="0.2">
      <c r="B95" s="21" t="s">
        <v>119</v>
      </c>
      <c r="C95" s="21" t="s">
        <v>117</v>
      </c>
      <c r="E95" t="s">
        <v>120</v>
      </c>
    </row>
    <row r="97" spans="1:6" ht="15.6" x14ac:dyDescent="0.2">
      <c r="B97" s="9" t="s">
        <v>121</v>
      </c>
      <c r="C97" s="9" t="s">
        <v>117</v>
      </c>
      <c r="E97" t="s">
        <v>122</v>
      </c>
    </row>
    <row r="99" spans="1:6" ht="12" x14ac:dyDescent="0.2">
      <c r="B99" s="71" t="s">
        <v>123</v>
      </c>
      <c r="C99" s="71" t="s">
        <v>117</v>
      </c>
      <c r="E99" t="s">
        <v>124</v>
      </c>
    </row>
    <row r="101" spans="1:6" ht="17.399999999999999" x14ac:dyDescent="0.2">
      <c r="A101" s="21" t="s">
        <v>125</v>
      </c>
    </row>
    <row r="102" spans="1:6" ht="12" x14ac:dyDescent="0.2">
      <c r="A102" s="22" t="s">
        <v>126</v>
      </c>
      <c r="B102" s="23"/>
      <c r="C102" s="23"/>
      <c r="D102" s="23"/>
      <c r="E102" s="23"/>
    </row>
    <row r="103" spans="1:6" x14ac:dyDescent="0.2">
      <c r="A103" s="20" t="s">
        <v>127</v>
      </c>
    </row>
    <row r="105" spans="1:6" ht="15.6" x14ac:dyDescent="0.2">
      <c r="A105" s="9" t="s">
        <v>128</v>
      </c>
    </row>
    <row r="106" spans="1:6" ht="12" x14ac:dyDescent="0.2">
      <c r="B106" s="72" t="s">
        <v>129</v>
      </c>
      <c r="C106" s="43" t="s">
        <v>130</v>
      </c>
      <c r="D106" s="43" t="s">
        <v>130</v>
      </c>
      <c r="E106" s="43" t="s">
        <v>130</v>
      </c>
      <c r="F106" s="43" t="s">
        <v>130</v>
      </c>
    </row>
    <row r="107" spans="1:6" ht="12" x14ac:dyDescent="0.2">
      <c r="B107" s="24" t="s">
        <v>131</v>
      </c>
    </row>
    <row r="108" spans="1:6" ht="12" x14ac:dyDescent="0.2">
      <c r="B108" s="24" t="s">
        <v>131</v>
      </c>
    </row>
    <row r="109" spans="1:6" ht="12.6" thickBot="1" x14ac:dyDescent="0.25">
      <c r="B109" s="24" t="s">
        <v>131</v>
      </c>
    </row>
    <row r="110" spans="1:6" x14ac:dyDescent="0.2">
      <c r="B110" s="53" t="s">
        <v>132</v>
      </c>
      <c r="C110" s="53"/>
      <c r="D110" s="53"/>
      <c r="E110" s="53"/>
      <c r="F110" s="53"/>
    </row>
    <row r="112" spans="1:6" ht="15.6" x14ac:dyDescent="0.2">
      <c r="A112" s="9" t="s">
        <v>133</v>
      </c>
    </row>
    <row r="113" spans="1:9" ht="12" x14ac:dyDescent="0.2">
      <c r="B113" s="72"/>
      <c r="C113" s="73"/>
      <c r="D113" s="73" t="s">
        <v>134</v>
      </c>
      <c r="E113" s="73"/>
      <c r="F113" s="73" t="s">
        <v>134</v>
      </c>
      <c r="G113" s="73"/>
    </row>
    <row r="114" spans="1:9" ht="22.8" x14ac:dyDescent="0.2">
      <c r="B114" s="72" t="s">
        <v>129</v>
      </c>
      <c r="C114" s="74" t="s">
        <v>135</v>
      </c>
      <c r="D114" s="43" t="s">
        <v>130</v>
      </c>
      <c r="E114" s="43" t="s">
        <v>130</v>
      </c>
      <c r="F114" s="43" t="s">
        <v>130</v>
      </c>
      <c r="G114" s="43" t="s">
        <v>130</v>
      </c>
    </row>
    <row r="115" spans="1:9" ht="12" x14ac:dyDescent="0.2">
      <c r="B115" s="24" t="s">
        <v>131</v>
      </c>
      <c r="D115" s="75" t="s">
        <v>136</v>
      </c>
      <c r="E115" s="75"/>
      <c r="F115" s="76" t="s">
        <v>137</v>
      </c>
      <c r="G115" s="76"/>
    </row>
    <row r="116" spans="1:9" ht="12" thickBot="1" x14ac:dyDescent="0.25">
      <c r="B116" s="27" t="s">
        <v>138</v>
      </c>
      <c r="D116" s="75"/>
      <c r="E116" s="75"/>
      <c r="F116" s="76"/>
      <c r="G116" s="76"/>
    </row>
    <row r="117" spans="1:9" ht="12.6" thickBot="1" x14ac:dyDescent="0.25">
      <c r="B117" s="77" t="s">
        <v>139</v>
      </c>
      <c r="C117" s="78"/>
      <c r="D117" s="78"/>
      <c r="E117" s="78"/>
      <c r="F117" s="79"/>
      <c r="G117" s="79"/>
    </row>
    <row r="118" spans="1:9" ht="12" x14ac:dyDescent="0.2">
      <c r="B118" s="80" t="s">
        <v>140</v>
      </c>
      <c r="C118" s="81"/>
      <c r="D118" s="81"/>
      <c r="E118" s="81"/>
      <c r="F118" s="81"/>
      <c r="G118" s="81"/>
    </row>
    <row r="121" spans="1:9" x14ac:dyDescent="0.2">
      <c r="A121" t="s">
        <v>141</v>
      </c>
    </row>
    <row r="122" spans="1:9" x14ac:dyDescent="0.2">
      <c r="A122" s="20" t="s">
        <v>142</v>
      </c>
    </row>
    <row r="124" spans="1:9" ht="15.6" x14ac:dyDescent="0.2">
      <c r="A124" s="9" t="s">
        <v>143</v>
      </c>
    </row>
    <row r="125" spans="1:9" ht="12" x14ac:dyDescent="0.2">
      <c r="B125" s="72" t="s">
        <v>144</v>
      </c>
      <c r="C125" s="74" t="s">
        <v>145</v>
      </c>
      <c r="D125" s="74" t="s">
        <v>19</v>
      </c>
      <c r="E125" s="43">
        <v>2000</v>
      </c>
      <c r="F125" s="43">
        <v>2001</v>
      </c>
      <c r="G125" s="43">
        <v>2002</v>
      </c>
      <c r="H125" s="43">
        <v>2003</v>
      </c>
      <c r="I125" s="82" t="s">
        <v>146</v>
      </c>
    </row>
    <row r="126" spans="1:9" ht="12" x14ac:dyDescent="0.2">
      <c r="B126" s="24" t="s">
        <v>147</v>
      </c>
      <c r="C126" t="s">
        <v>148</v>
      </c>
      <c r="D126" s="20" t="s">
        <v>149</v>
      </c>
      <c r="E126" s="83">
        <v>1000000</v>
      </c>
      <c r="F126" s="31">
        <f t="shared" ref="F126:G128" si="0">E126+($H126-$E126)/3</f>
        <v>1000000</v>
      </c>
      <c r="G126" s="31">
        <f t="shared" si="0"/>
        <v>1000000</v>
      </c>
      <c r="H126" s="25">
        <v>1000000</v>
      </c>
    </row>
    <row r="127" spans="1:9" ht="12" x14ac:dyDescent="0.2">
      <c r="B127" s="24" t="s">
        <v>150</v>
      </c>
      <c r="C127" t="s">
        <v>148</v>
      </c>
      <c r="D127" s="20" t="s">
        <v>149</v>
      </c>
      <c r="E127" s="29">
        <v>100000</v>
      </c>
      <c r="F127" s="31">
        <f t="shared" si="0"/>
        <v>133333.33333333334</v>
      </c>
      <c r="G127" s="31">
        <f t="shared" si="0"/>
        <v>166666.66666666669</v>
      </c>
      <c r="H127" s="25">
        <v>200000</v>
      </c>
    </row>
    <row r="128" spans="1:9" ht="12" x14ac:dyDescent="0.2">
      <c r="B128" s="24" t="s">
        <v>151</v>
      </c>
      <c r="C128" t="s">
        <v>148</v>
      </c>
      <c r="D128" s="20" t="s">
        <v>149</v>
      </c>
      <c r="E128" s="30">
        <v>50000</v>
      </c>
      <c r="F128" s="31">
        <f t="shared" si="0"/>
        <v>100000</v>
      </c>
      <c r="G128" s="31">
        <f t="shared" si="0"/>
        <v>150000</v>
      </c>
      <c r="H128" s="25">
        <v>200000</v>
      </c>
    </row>
    <row r="129" spans="1:9" ht="12" x14ac:dyDescent="0.2">
      <c r="B129" s="80" t="s">
        <v>64</v>
      </c>
      <c r="C129" s="81" t="s">
        <v>148</v>
      </c>
      <c r="D129" s="81"/>
      <c r="E129" s="84">
        <f>SUM(E126:E128)</f>
        <v>1150000</v>
      </c>
      <c r="F129" s="84">
        <f>SUM(F126:F128)</f>
        <v>1233333.3333333333</v>
      </c>
      <c r="G129" s="84">
        <f>SUM(G126:G128)</f>
        <v>1316666.6666666667</v>
      </c>
      <c r="H129" s="84">
        <f>SUM(H126:H128)</f>
        <v>1400000</v>
      </c>
    </row>
    <row r="131" spans="1:9" ht="15.6" x14ac:dyDescent="0.2">
      <c r="A131" s="9" t="s">
        <v>143</v>
      </c>
    </row>
    <row r="132" spans="1:9" ht="12" x14ac:dyDescent="0.2">
      <c r="B132" s="72" t="s">
        <v>144</v>
      </c>
      <c r="C132" s="74" t="s">
        <v>145</v>
      </c>
      <c r="D132" s="74" t="s">
        <v>19</v>
      </c>
      <c r="E132" s="43">
        <v>2000</v>
      </c>
      <c r="F132" s="43">
        <v>2001</v>
      </c>
      <c r="G132" s="43">
        <v>2002</v>
      </c>
      <c r="H132" s="43">
        <v>2003</v>
      </c>
    </row>
    <row r="133" spans="1:9" ht="12" x14ac:dyDescent="0.2">
      <c r="B133" s="24" t="s">
        <v>147</v>
      </c>
      <c r="C133" t="s">
        <v>148</v>
      </c>
      <c r="D133" s="20" t="s">
        <v>152</v>
      </c>
      <c r="E133" s="32">
        <f t="array" ref="E133:H135">$E$126:$H$128</f>
        <v>1000000</v>
      </c>
      <c r="F133" s="32">
        <v>1000000</v>
      </c>
      <c r="G133" s="32">
        <v>1000000</v>
      </c>
      <c r="H133" s="32">
        <v>1000000</v>
      </c>
    </row>
    <row r="134" spans="1:9" ht="12" x14ac:dyDescent="0.2">
      <c r="B134" s="24" t="s">
        <v>150</v>
      </c>
      <c r="C134" t="s">
        <v>148</v>
      </c>
      <c r="D134" s="20" t="s">
        <v>152</v>
      </c>
      <c r="E134" s="32">
        <v>100000</v>
      </c>
      <c r="F134" s="32">
        <v>133333.33333333334</v>
      </c>
      <c r="G134" s="32">
        <v>166666.66666666669</v>
      </c>
      <c r="H134" s="32">
        <v>200000</v>
      </c>
    </row>
    <row r="135" spans="1:9" ht="12" x14ac:dyDescent="0.2">
      <c r="B135" s="24" t="s">
        <v>151</v>
      </c>
      <c r="C135" t="s">
        <v>148</v>
      </c>
      <c r="D135" s="20" t="s">
        <v>153</v>
      </c>
      <c r="E135" s="34">
        <v>50000</v>
      </c>
      <c r="F135" s="34">
        <v>100000</v>
      </c>
      <c r="G135" s="34">
        <v>150000</v>
      </c>
      <c r="H135" s="34">
        <v>200000</v>
      </c>
    </row>
    <row r="136" spans="1:9" ht="12" x14ac:dyDescent="0.2">
      <c r="B136" s="80" t="s">
        <v>64</v>
      </c>
      <c r="C136" s="81" t="s">
        <v>148</v>
      </c>
      <c r="D136" s="81"/>
      <c r="E136" s="84">
        <f>SUM(E133:E135)</f>
        <v>1150000</v>
      </c>
      <c r="F136" s="84">
        <f>SUM(F133:F135)</f>
        <v>1233333.3333333333</v>
      </c>
      <c r="G136" s="84">
        <f>SUM(G133:G135)</f>
        <v>1316666.6666666667</v>
      </c>
      <c r="H136" s="84">
        <f>SUM(H133:H135)</f>
        <v>1400000</v>
      </c>
    </row>
    <row r="139" spans="1:9" ht="15.6" x14ac:dyDescent="0.2">
      <c r="A139" s="9" t="s">
        <v>154</v>
      </c>
    </row>
    <row r="140" spans="1:9" ht="12" x14ac:dyDescent="0.2">
      <c r="B140" s="72" t="s">
        <v>144</v>
      </c>
      <c r="C140" s="74" t="s">
        <v>145</v>
      </c>
      <c r="D140" s="74" t="s">
        <v>19</v>
      </c>
      <c r="E140" s="43">
        <v>2000</v>
      </c>
      <c r="F140" s="43">
        <v>2001</v>
      </c>
      <c r="G140" s="43">
        <v>2002</v>
      </c>
      <c r="H140" s="43">
        <v>2003</v>
      </c>
    </row>
    <row r="141" spans="1:9" ht="12" x14ac:dyDescent="0.2">
      <c r="B141" s="24" t="s">
        <v>147</v>
      </c>
      <c r="C141" t="s">
        <v>148</v>
      </c>
      <c r="D141" s="20"/>
      <c r="E141" s="28"/>
      <c r="F141" s="35">
        <f t="shared" ref="F141:H143" si="1">(F133+E133)/2</f>
        <v>1000000</v>
      </c>
      <c r="G141" s="35">
        <f t="shared" si="1"/>
        <v>1000000</v>
      </c>
      <c r="H141" s="35">
        <f t="shared" si="1"/>
        <v>1000000</v>
      </c>
    </row>
    <row r="142" spans="1:9" ht="12" x14ac:dyDescent="0.2">
      <c r="B142" s="24" t="s">
        <v>150</v>
      </c>
      <c r="C142" t="s">
        <v>148</v>
      </c>
      <c r="D142" s="20"/>
      <c r="E142" s="28"/>
      <c r="F142" s="35">
        <f t="shared" si="1"/>
        <v>116666.66666666667</v>
      </c>
      <c r="G142" s="35">
        <f t="shared" si="1"/>
        <v>150000</v>
      </c>
      <c r="H142" s="35">
        <f t="shared" si="1"/>
        <v>183333.33333333334</v>
      </c>
    </row>
    <row r="143" spans="1:9" ht="12" x14ac:dyDescent="0.2">
      <c r="B143" s="24" t="s">
        <v>151</v>
      </c>
      <c r="C143" t="s">
        <v>148</v>
      </c>
      <c r="D143" s="20"/>
      <c r="E143" s="28"/>
      <c r="F143" s="35">
        <f t="shared" si="1"/>
        <v>75000</v>
      </c>
      <c r="G143" s="35">
        <f t="shared" si="1"/>
        <v>125000</v>
      </c>
      <c r="H143" s="35">
        <f t="shared" si="1"/>
        <v>175000</v>
      </c>
    </row>
    <row r="144" spans="1:9" ht="12" x14ac:dyDescent="0.2">
      <c r="B144" s="85" t="s">
        <v>64</v>
      </c>
      <c r="C144" s="86" t="s">
        <v>148</v>
      </c>
      <c r="D144" s="86"/>
      <c r="E144" s="38"/>
      <c r="F144" s="38">
        <f>SUM(F141:F143)</f>
        <v>1191666.6666666667</v>
      </c>
      <c r="G144" s="38">
        <f>SUM(G141:G143)</f>
        <v>1275000</v>
      </c>
      <c r="H144" s="38">
        <f>SUM(H141:H143)</f>
        <v>1358333.3333333333</v>
      </c>
      <c r="I144" s="82" t="s">
        <v>155</v>
      </c>
    </row>
  </sheetData>
  <conditionalFormatting sqref="C43">
    <cfRule type="cellIs" dxfId="19" priority="1" stopIfTrue="1" operator="notEqual">
      <formula>0</formula>
    </cfRule>
  </conditionalFormatting>
  <dataValidations count="2">
    <dataValidation type="decimal" showInputMessage="1" showErrorMessage="1" errorTitle="Input Parameter" error="Value must lie between 100 and 300" promptTitle="Input Parameter" prompt="Value must lie between 100 and 300" sqref="C12" xr:uid="{580A8F4A-E805-4A22-97F2-49E4855D682D}">
      <formula1>C13</formula1>
      <formula2>C14</formula2>
    </dataValidation>
    <dataValidation type="list" showInputMessage="1" showErrorMessage="1" errorTitle="Input Parameter" error="Please select value from list" promptTitle="Input Parameter" prompt="Select from list" sqref="C16" xr:uid="{FD3AEBAC-FF7F-4C35-85CB-59241EEF2FD6}">
      <formula1>$C$17:$C$19</formula1>
    </dataValidation>
  </dataValidations>
  <pageMargins left="0.74803149606299213" right="0.74803149606299213" top="0.51181102362204722" bottom="0.51181102362204722" header="0.51181102362204722" footer="0.35433070866141736"/>
  <pageSetup paperSize="9" fitToHeight="0" orientation="landscape" horizontalDpi="4294967292" verticalDpi="4294967292" r:id="rId1"/>
  <headerFooter alignWithMargins="0">
    <oddFooter xml:space="preserve">&amp;L&amp;F : &amp;A&amp;CPrinted at &amp;T on &amp;D&amp;RCommercial in confidence © Analysys Mason </oddFooter>
  </headerFooter>
  <rowBreaks count="3" manualBreakCount="3">
    <brk id="54" max="16383" man="1"/>
    <brk id="86" max="16383" man="1"/>
    <brk id="12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252467-3179-40C7-A4A1-AE46A9F99438}">
  <sheetPr codeName="Hoja4">
    <pageSetUpPr autoPageBreaks="0"/>
  </sheetPr>
  <dimension ref="B1:V45"/>
  <sheetViews>
    <sheetView showGridLines="0" defaultGridColor="0" colorId="22" zoomScale="130" zoomScaleNormal="130" workbookViewId="0">
      <pane ySplit="1" topLeftCell="A2" activePane="bottomLeft" state="frozen"/>
      <selection activeCell="H120" sqref="H120"/>
      <selection pane="bottomLeft" activeCell="E14" sqref="E14"/>
    </sheetView>
  </sheetViews>
  <sheetFormatPr baseColWidth="10" defaultColWidth="12.875" defaultRowHeight="11.4" x14ac:dyDescent="0.2"/>
  <cols>
    <col min="1" max="1" width="6.875" customWidth="1"/>
    <col min="3" max="3" width="7.375" customWidth="1"/>
    <col min="4" max="4" width="6.875" style="19" customWidth="1"/>
    <col min="5" max="5" width="52.375" style="98" bestFit="1" customWidth="1"/>
    <col min="6" max="6" width="8" customWidth="1"/>
    <col min="7" max="7" width="6.875" style="19" customWidth="1"/>
    <col min="8" max="8" width="52.375" style="98" bestFit="1" customWidth="1"/>
    <col min="9" max="9" width="8.875" customWidth="1"/>
    <col min="10" max="10" width="6.875" style="19" customWidth="1"/>
    <col min="11" max="11" width="41.625" style="98" customWidth="1"/>
    <col min="12" max="12" width="9.75" customWidth="1"/>
    <col min="13" max="13" width="6.875" style="19" customWidth="1"/>
    <col min="14" max="14" width="42" style="98" bestFit="1" customWidth="1"/>
    <col min="16" max="16" width="6.875" style="19" customWidth="1"/>
    <col min="17" max="17" width="34.875" style="98" bestFit="1" customWidth="1"/>
    <col min="19" max="19" width="23.875" customWidth="1"/>
    <col min="21" max="21" width="12.875" customWidth="1"/>
    <col min="22" max="22" width="48.375" bestFit="1" customWidth="1"/>
    <col min="23" max="23" width="48.375" customWidth="1"/>
    <col min="24" max="24" width="12.875" customWidth="1"/>
  </cols>
  <sheetData>
    <row r="1" spans="2:22" s="87" customFormat="1" ht="33.75" customHeight="1" x14ac:dyDescent="0.2">
      <c r="C1" s="87" t="s">
        <v>156</v>
      </c>
      <c r="D1" s="88"/>
      <c r="G1" s="88"/>
      <c r="I1"/>
      <c r="J1" s="88"/>
      <c r="M1" s="88"/>
      <c r="P1" s="88"/>
    </row>
    <row r="3" spans="2:22" ht="24" x14ac:dyDescent="0.2">
      <c r="B3" s="43" t="s">
        <v>157</v>
      </c>
      <c r="D3" s="43" t="s">
        <v>158</v>
      </c>
      <c r="E3" s="43" t="s">
        <v>159</v>
      </c>
      <c r="G3" s="43" t="s">
        <v>158</v>
      </c>
      <c r="H3" s="43" t="s">
        <v>160</v>
      </c>
      <c r="J3" s="43" t="s">
        <v>158</v>
      </c>
      <c r="K3" s="43" t="s">
        <v>161</v>
      </c>
      <c r="M3" s="43" t="s">
        <v>158</v>
      </c>
      <c r="N3" s="43" t="s">
        <v>162</v>
      </c>
      <c r="P3" s="43" t="s">
        <v>158</v>
      </c>
      <c r="Q3" s="43" t="s">
        <v>163</v>
      </c>
      <c r="S3" s="43" t="s">
        <v>164</v>
      </c>
    </row>
    <row r="4" spans="2:22" x14ac:dyDescent="0.2">
      <c r="B4" s="89">
        <v>2018</v>
      </c>
      <c r="D4" s="90">
        <v>1</v>
      </c>
      <c r="E4" s="91" t="s">
        <v>165</v>
      </c>
      <c r="G4" s="90">
        <v>1</v>
      </c>
      <c r="H4" s="91" t="s">
        <v>166</v>
      </c>
      <c r="J4" s="90">
        <v>1</v>
      </c>
      <c r="K4" s="91" t="s">
        <v>165</v>
      </c>
      <c r="M4" s="90">
        <v>1</v>
      </c>
      <c r="N4" s="91" t="s">
        <v>167</v>
      </c>
      <c r="P4" s="90">
        <v>1</v>
      </c>
      <c r="Q4" s="91" t="s">
        <v>165</v>
      </c>
      <c r="S4" s="92">
        <v>1024</v>
      </c>
    </row>
    <row r="5" spans="2:22" ht="12" x14ac:dyDescent="0.2">
      <c r="B5" s="93">
        <f t="shared" ref="B5:B11" si="0">1+B4</f>
        <v>2019</v>
      </c>
      <c r="D5" s="94">
        <f>1+D4</f>
        <v>2</v>
      </c>
      <c r="E5" s="91" t="s">
        <v>168</v>
      </c>
      <c r="G5" s="94">
        <f>G4+1</f>
        <v>2</v>
      </c>
      <c r="H5" s="91" t="s">
        <v>169</v>
      </c>
      <c r="J5" s="94">
        <f>1+J4</f>
        <v>2</v>
      </c>
      <c r="K5" s="91" t="s">
        <v>168</v>
      </c>
      <c r="M5" s="94">
        <f>1+M4</f>
        <v>2</v>
      </c>
      <c r="N5" s="514" t="s">
        <v>170</v>
      </c>
      <c r="P5" s="94">
        <v>2</v>
      </c>
      <c r="Q5" s="91" t="s">
        <v>168</v>
      </c>
      <c r="S5" s="82" t="s">
        <v>171</v>
      </c>
      <c r="V5" s="43" t="s">
        <v>172</v>
      </c>
    </row>
    <row r="6" spans="2:22" x14ac:dyDescent="0.2">
      <c r="B6" s="93">
        <f t="shared" si="0"/>
        <v>2020</v>
      </c>
      <c r="D6" s="94">
        <f t="shared" ref="D6:D44" si="1">1+D5</f>
        <v>3</v>
      </c>
      <c r="E6" s="91" t="s">
        <v>166</v>
      </c>
      <c r="G6" s="94">
        <f t="shared" ref="G6:G42" si="2">G5+1</f>
        <v>3</v>
      </c>
      <c r="H6" s="91" t="s">
        <v>173</v>
      </c>
      <c r="J6" s="94">
        <f t="shared" ref="J6:J24" si="3">1+J5</f>
        <v>3</v>
      </c>
      <c r="K6" s="91" t="s">
        <v>166</v>
      </c>
      <c r="M6" s="94">
        <f t="shared" ref="M6:M23" si="4">1+M5</f>
        <v>3</v>
      </c>
      <c r="N6" s="91" t="s">
        <v>174</v>
      </c>
      <c r="Q6" s="97" t="s">
        <v>210</v>
      </c>
      <c r="V6" s="89" t="s">
        <v>175</v>
      </c>
    </row>
    <row r="7" spans="2:22" x14ac:dyDescent="0.2">
      <c r="B7" s="93">
        <f t="shared" si="0"/>
        <v>2021</v>
      </c>
      <c r="D7" s="94">
        <f t="shared" si="1"/>
        <v>4</v>
      </c>
      <c r="E7" s="91" t="s">
        <v>169</v>
      </c>
      <c r="G7" s="94">
        <f t="shared" si="2"/>
        <v>4</v>
      </c>
      <c r="H7" s="91" t="s">
        <v>176</v>
      </c>
      <c r="J7" s="94">
        <f t="shared" si="3"/>
        <v>4</v>
      </c>
      <c r="K7" s="91" t="s">
        <v>169</v>
      </c>
      <c r="M7" s="94">
        <f t="shared" si="4"/>
        <v>4</v>
      </c>
      <c r="N7" s="91" t="s">
        <v>177</v>
      </c>
      <c r="V7" s="89" t="s">
        <v>178</v>
      </c>
    </row>
    <row r="8" spans="2:22" x14ac:dyDescent="0.2">
      <c r="B8" s="93">
        <f t="shared" si="0"/>
        <v>2022</v>
      </c>
      <c r="D8" s="94">
        <f t="shared" si="1"/>
        <v>5</v>
      </c>
      <c r="E8" s="91" t="s">
        <v>173</v>
      </c>
      <c r="G8" s="94">
        <f t="shared" si="2"/>
        <v>5</v>
      </c>
      <c r="H8" s="91" t="s">
        <v>179</v>
      </c>
      <c r="J8" s="94">
        <f t="shared" si="3"/>
        <v>5</v>
      </c>
      <c r="K8" s="91" t="s">
        <v>173</v>
      </c>
      <c r="M8" s="94">
        <f t="shared" si="4"/>
        <v>5</v>
      </c>
      <c r="N8" s="91" t="s">
        <v>180</v>
      </c>
    </row>
    <row r="9" spans="2:22" x14ac:dyDescent="0.2">
      <c r="B9" s="93">
        <f t="shared" si="0"/>
        <v>2023</v>
      </c>
      <c r="D9" s="94">
        <f t="shared" si="1"/>
        <v>6</v>
      </c>
      <c r="E9" s="91" t="s">
        <v>176</v>
      </c>
      <c r="G9" s="94">
        <f t="shared" si="2"/>
        <v>6</v>
      </c>
      <c r="H9" s="91" t="s">
        <v>181</v>
      </c>
      <c r="J9" s="94">
        <f t="shared" si="3"/>
        <v>6</v>
      </c>
      <c r="K9" s="91" t="s">
        <v>176</v>
      </c>
      <c r="M9" s="94">
        <f t="shared" si="4"/>
        <v>6</v>
      </c>
      <c r="N9" s="91" t="s">
        <v>1037</v>
      </c>
    </row>
    <row r="10" spans="2:22" x14ac:dyDescent="0.2">
      <c r="B10" s="93">
        <f t="shared" si="0"/>
        <v>2024</v>
      </c>
      <c r="D10" s="94">
        <f t="shared" si="1"/>
        <v>7</v>
      </c>
      <c r="E10" s="91" t="s">
        <v>179</v>
      </c>
      <c r="G10" s="94">
        <f t="shared" si="2"/>
        <v>7</v>
      </c>
      <c r="H10" s="91" t="s">
        <v>183</v>
      </c>
      <c r="J10" s="94">
        <f t="shared" si="3"/>
        <v>7</v>
      </c>
      <c r="K10" s="91" t="s">
        <v>179</v>
      </c>
      <c r="M10" s="94">
        <f t="shared" si="4"/>
        <v>7</v>
      </c>
      <c r="N10" s="91" t="s">
        <v>182</v>
      </c>
    </row>
    <row r="11" spans="2:22" x14ac:dyDescent="0.2">
      <c r="B11" s="93">
        <f t="shared" si="0"/>
        <v>2025</v>
      </c>
      <c r="D11" s="94">
        <f t="shared" si="1"/>
        <v>8</v>
      </c>
      <c r="E11" s="91" t="s">
        <v>181</v>
      </c>
      <c r="G11" s="94">
        <f t="shared" si="2"/>
        <v>8</v>
      </c>
      <c r="H11" s="91" t="s">
        <v>186</v>
      </c>
      <c r="J11" s="94">
        <f t="shared" si="3"/>
        <v>8</v>
      </c>
      <c r="K11" s="91" t="s">
        <v>181</v>
      </c>
      <c r="M11" s="94">
        <f t="shared" si="4"/>
        <v>8</v>
      </c>
      <c r="N11" s="91" t="s">
        <v>1038</v>
      </c>
    </row>
    <row r="12" spans="2:22" x14ac:dyDescent="0.2">
      <c r="B12" s="82" t="s">
        <v>185</v>
      </c>
      <c r="D12" s="94">
        <f t="shared" si="1"/>
        <v>9</v>
      </c>
      <c r="E12" s="91" t="s">
        <v>183</v>
      </c>
      <c r="G12" s="94">
        <f t="shared" si="2"/>
        <v>9</v>
      </c>
      <c r="H12" s="91" t="s">
        <v>1036</v>
      </c>
      <c r="J12" s="94">
        <f t="shared" si="3"/>
        <v>9</v>
      </c>
      <c r="K12" s="91" t="s">
        <v>183</v>
      </c>
      <c r="M12" s="94">
        <f t="shared" si="4"/>
        <v>9</v>
      </c>
      <c r="N12" s="91" t="s">
        <v>184</v>
      </c>
    </row>
    <row r="13" spans="2:22" x14ac:dyDescent="0.2">
      <c r="D13" s="94">
        <f t="shared" si="1"/>
        <v>10</v>
      </c>
      <c r="E13" s="91" t="s">
        <v>186</v>
      </c>
      <c r="G13" s="94">
        <f t="shared" si="2"/>
        <v>10</v>
      </c>
      <c r="H13" s="91" t="s">
        <v>188</v>
      </c>
      <c r="J13" s="94">
        <f t="shared" si="3"/>
        <v>10</v>
      </c>
      <c r="K13" s="91" t="s">
        <v>186</v>
      </c>
      <c r="M13" s="94">
        <f t="shared" si="4"/>
        <v>10</v>
      </c>
      <c r="N13" s="514" t="s">
        <v>187</v>
      </c>
    </row>
    <row r="14" spans="2:22" x14ac:dyDescent="0.2">
      <c r="D14" s="94">
        <f t="shared" si="1"/>
        <v>11</v>
      </c>
      <c r="E14" s="91" t="s">
        <v>1036</v>
      </c>
      <c r="G14" s="94">
        <f t="shared" si="2"/>
        <v>11</v>
      </c>
      <c r="H14" s="91" t="s">
        <v>190</v>
      </c>
      <c r="J14" s="94">
        <f t="shared" si="3"/>
        <v>11</v>
      </c>
      <c r="K14" s="91" t="s">
        <v>1036</v>
      </c>
      <c r="M14" s="94">
        <f t="shared" si="4"/>
        <v>11</v>
      </c>
      <c r="N14" s="91" t="s">
        <v>189</v>
      </c>
    </row>
    <row r="15" spans="2:22" x14ac:dyDescent="0.2">
      <c r="D15" s="94">
        <f t="shared" si="1"/>
        <v>12</v>
      </c>
      <c r="E15" s="91" t="s">
        <v>188</v>
      </c>
      <c r="G15" s="94">
        <f t="shared" si="2"/>
        <v>12</v>
      </c>
      <c r="H15" s="91" t="s">
        <v>167</v>
      </c>
      <c r="J15" s="94">
        <f t="shared" si="3"/>
        <v>12</v>
      </c>
      <c r="K15" s="91" t="s">
        <v>188</v>
      </c>
      <c r="M15" s="94">
        <f t="shared" si="4"/>
        <v>12</v>
      </c>
      <c r="N15" s="91" t="s">
        <v>191</v>
      </c>
    </row>
    <row r="16" spans="2:22" x14ac:dyDescent="0.2">
      <c r="D16" s="94">
        <f t="shared" si="1"/>
        <v>13</v>
      </c>
      <c r="E16" s="91" t="s">
        <v>190</v>
      </c>
      <c r="G16" s="94">
        <f t="shared" si="2"/>
        <v>13</v>
      </c>
      <c r="H16" s="514" t="s">
        <v>170</v>
      </c>
      <c r="J16" s="94">
        <f t="shared" si="3"/>
        <v>13</v>
      </c>
      <c r="K16" s="91" t="s">
        <v>190</v>
      </c>
      <c r="M16" s="94">
        <f t="shared" si="4"/>
        <v>13</v>
      </c>
      <c r="N16" s="91" t="s">
        <v>192</v>
      </c>
    </row>
    <row r="17" spans="4:14" x14ac:dyDescent="0.2">
      <c r="D17" s="94">
        <f t="shared" si="1"/>
        <v>14</v>
      </c>
      <c r="E17" s="91" t="s">
        <v>167</v>
      </c>
      <c r="G17" s="94">
        <f t="shared" si="2"/>
        <v>14</v>
      </c>
      <c r="H17" s="91" t="s">
        <v>174</v>
      </c>
      <c r="J17" s="94">
        <f t="shared" si="3"/>
        <v>14</v>
      </c>
      <c r="K17" s="91" t="s">
        <v>194</v>
      </c>
      <c r="M17" s="94">
        <f t="shared" si="4"/>
        <v>14</v>
      </c>
      <c r="N17" s="91" t="s">
        <v>1040</v>
      </c>
    </row>
    <row r="18" spans="4:14" x14ac:dyDescent="0.2">
      <c r="D18" s="94">
        <f t="shared" si="1"/>
        <v>15</v>
      </c>
      <c r="E18" s="514" t="s">
        <v>170</v>
      </c>
      <c r="G18" s="94">
        <f t="shared" si="2"/>
        <v>15</v>
      </c>
      <c r="H18" s="91" t="s">
        <v>177</v>
      </c>
      <c r="J18" s="94">
        <f t="shared" si="3"/>
        <v>15</v>
      </c>
      <c r="K18" s="91" t="s">
        <v>196</v>
      </c>
      <c r="M18" s="94">
        <f t="shared" si="4"/>
        <v>15</v>
      </c>
      <c r="N18" s="91" t="s">
        <v>193</v>
      </c>
    </row>
    <row r="19" spans="4:14" x14ac:dyDescent="0.2">
      <c r="D19" s="94">
        <f t="shared" si="1"/>
        <v>16</v>
      </c>
      <c r="E19" s="91" t="s">
        <v>174</v>
      </c>
      <c r="G19" s="94">
        <f t="shared" si="2"/>
        <v>16</v>
      </c>
      <c r="H19" s="91" t="s">
        <v>180</v>
      </c>
      <c r="J19" s="94">
        <f t="shared" si="3"/>
        <v>16</v>
      </c>
      <c r="K19" s="91" t="s">
        <v>198</v>
      </c>
      <c r="M19" s="94">
        <f t="shared" si="4"/>
        <v>16</v>
      </c>
      <c r="N19" s="91" t="s">
        <v>1041</v>
      </c>
    </row>
    <row r="20" spans="4:14" x14ac:dyDescent="0.2">
      <c r="D20" s="94">
        <f t="shared" si="1"/>
        <v>17</v>
      </c>
      <c r="E20" s="91" t="s">
        <v>177</v>
      </c>
      <c r="G20" s="94">
        <f t="shared" si="2"/>
        <v>17</v>
      </c>
      <c r="H20" s="91" t="s">
        <v>1037</v>
      </c>
      <c r="J20" s="94">
        <f t="shared" si="3"/>
        <v>17</v>
      </c>
      <c r="K20" s="91" t="s">
        <v>200</v>
      </c>
      <c r="M20" s="94">
        <f t="shared" si="4"/>
        <v>17</v>
      </c>
      <c r="N20" s="91" t="s">
        <v>195</v>
      </c>
    </row>
    <row r="21" spans="4:14" x14ac:dyDescent="0.2">
      <c r="D21" s="94">
        <f t="shared" si="1"/>
        <v>18</v>
      </c>
      <c r="E21" s="91" t="s">
        <v>180</v>
      </c>
      <c r="G21" s="94">
        <f t="shared" si="2"/>
        <v>18</v>
      </c>
      <c r="H21" s="91" t="s">
        <v>182</v>
      </c>
      <c r="J21" s="94">
        <f t="shared" si="3"/>
        <v>18</v>
      </c>
      <c r="K21" s="91" t="s">
        <v>202</v>
      </c>
      <c r="M21" s="94">
        <f t="shared" si="4"/>
        <v>18</v>
      </c>
      <c r="N21" s="91" t="s">
        <v>197</v>
      </c>
    </row>
    <row r="22" spans="4:14" x14ac:dyDescent="0.2">
      <c r="D22" s="94">
        <f t="shared" si="1"/>
        <v>19</v>
      </c>
      <c r="E22" s="91" t="s">
        <v>1037</v>
      </c>
      <c r="G22" s="94">
        <f t="shared" si="2"/>
        <v>19</v>
      </c>
      <c r="H22" s="91" t="s">
        <v>1038</v>
      </c>
      <c r="J22" s="94">
        <f t="shared" si="3"/>
        <v>19</v>
      </c>
      <c r="K22" s="91" t="s">
        <v>203</v>
      </c>
      <c r="M22" s="94">
        <f t="shared" si="4"/>
        <v>19</v>
      </c>
      <c r="N22" s="91" t="s">
        <v>199</v>
      </c>
    </row>
    <row r="23" spans="4:14" x14ac:dyDescent="0.2">
      <c r="D23" s="94">
        <f t="shared" si="1"/>
        <v>20</v>
      </c>
      <c r="E23" s="91" t="s">
        <v>182</v>
      </c>
      <c r="G23" s="94">
        <f t="shared" si="2"/>
        <v>20</v>
      </c>
      <c r="H23" s="91" t="s">
        <v>184</v>
      </c>
      <c r="J23" s="94">
        <f t="shared" si="3"/>
        <v>20</v>
      </c>
      <c r="K23" s="91" t="s">
        <v>204</v>
      </c>
      <c r="M23" s="94">
        <f t="shared" si="4"/>
        <v>20</v>
      </c>
      <c r="N23" s="91" t="s">
        <v>201</v>
      </c>
    </row>
    <row r="24" spans="4:14" x14ac:dyDescent="0.2">
      <c r="D24" s="94">
        <f t="shared" si="1"/>
        <v>21</v>
      </c>
      <c r="E24" s="91" t="s">
        <v>1038</v>
      </c>
      <c r="G24" s="94">
        <f t="shared" si="2"/>
        <v>21</v>
      </c>
      <c r="H24" s="91" t="s">
        <v>194</v>
      </c>
      <c r="J24" s="94">
        <f t="shared" si="3"/>
        <v>21</v>
      </c>
      <c r="K24" s="91" t="s">
        <v>205</v>
      </c>
      <c r="N24" s="97" t="s">
        <v>209</v>
      </c>
    </row>
    <row r="25" spans="4:14" x14ac:dyDescent="0.2">
      <c r="D25" s="94">
        <f t="shared" si="1"/>
        <v>22</v>
      </c>
      <c r="E25" s="91" t="s">
        <v>184</v>
      </c>
      <c r="G25" s="94">
        <f t="shared" si="2"/>
        <v>22</v>
      </c>
      <c r="H25" s="91" t="s">
        <v>196</v>
      </c>
      <c r="J25" s="508"/>
      <c r="K25" s="97" t="s">
        <v>208</v>
      </c>
    </row>
    <row r="26" spans="4:14" x14ac:dyDescent="0.2">
      <c r="D26" s="94">
        <f t="shared" si="1"/>
        <v>23</v>
      </c>
      <c r="E26" s="91" t="s">
        <v>194</v>
      </c>
      <c r="G26" s="94">
        <f t="shared" si="2"/>
        <v>23</v>
      </c>
      <c r="H26" s="91" t="s">
        <v>198</v>
      </c>
      <c r="J26" s="509"/>
    </row>
    <row r="27" spans="4:14" x14ac:dyDescent="0.2">
      <c r="D27" s="94">
        <f t="shared" si="1"/>
        <v>24</v>
      </c>
      <c r="E27" s="91" t="s">
        <v>196</v>
      </c>
      <c r="G27" s="94">
        <f t="shared" si="2"/>
        <v>24</v>
      </c>
      <c r="H27" s="91" t="s">
        <v>200</v>
      </c>
      <c r="J27" s="509"/>
    </row>
    <row r="28" spans="4:14" x14ac:dyDescent="0.2">
      <c r="D28" s="94">
        <f t="shared" si="1"/>
        <v>25</v>
      </c>
      <c r="E28" s="91" t="s">
        <v>198</v>
      </c>
      <c r="G28" s="94">
        <f t="shared" si="2"/>
        <v>25</v>
      </c>
      <c r="H28" s="91" t="s">
        <v>202</v>
      </c>
      <c r="J28" s="509"/>
    </row>
    <row r="29" spans="4:14" x14ac:dyDescent="0.2">
      <c r="D29" s="94">
        <f t="shared" si="1"/>
        <v>26</v>
      </c>
      <c r="E29" s="91" t="s">
        <v>200</v>
      </c>
      <c r="G29" s="94">
        <f t="shared" si="2"/>
        <v>26</v>
      </c>
      <c r="H29" s="91" t="s">
        <v>203</v>
      </c>
      <c r="J29" s="509"/>
    </row>
    <row r="30" spans="4:14" x14ac:dyDescent="0.2">
      <c r="D30" s="94">
        <f t="shared" si="1"/>
        <v>27</v>
      </c>
      <c r="E30" s="91" t="s">
        <v>202</v>
      </c>
      <c r="G30" s="94">
        <f t="shared" si="2"/>
        <v>27</v>
      </c>
      <c r="H30" s="91" t="s">
        <v>204</v>
      </c>
      <c r="J30" s="509"/>
    </row>
    <row r="31" spans="4:14" x14ac:dyDescent="0.2">
      <c r="D31" s="94">
        <f t="shared" si="1"/>
        <v>28</v>
      </c>
      <c r="E31" s="91" t="s">
        <v>203</v>
      </c>
      <c r="G31" s="94">
        <f t="shared" si="2"/>
        <v>28</v>
      </c>
      <c r="H31" s="91" t="s">
        <v>205</v>
      </c>
    </row>
    <row r="32" spans="4:14" x14ac:dyDescent="0.2">
      <c r="D32" s="94">
        <f t="shared" si="1"/>
        <v>29</v>
      </c>
      <c r="E32" s="91" t="s">
        <v>204</v>
      </c>
      <c r="G32" s="94">
        <f t="shared" si="2"/>
        <v>29</v>
      </c>
      <c r="H32" s="514" t="s">
        <v>187</v>
      </c>
    </row>
    <row r="33" spans="4:8" x14ac:dyDescent="0.2">
      <c r="D33" s="94">
        <f t="shared" si="1"/>
        <v>30</v>
      </c>
      <c r="E33" s="91" t="s">
        <v>205</v>
      </c>
      <c r="G33" s="94">
        <f t="shared" si="2"/>
        <v>30</v>
      </c>
      <c r="H33" s="91" t="s">
        <v>189</v>
      </c>
    </row>
    <row r="34" spans="4:8" x14ac:dyDescent="0.2">
      <c r="D34" s="94">
        <f t="shared" si="1"/>
        <v>31</v>
      </c>
      <c r="E34" s="514" t="s">
        <v>187</v>
      </c>
      <c r="G34" s="94">
        <f t="shared" si="2"/>
        <v>31</v>
      </c>
      <c r="H34" s="91" t="s">
        <v>191</v>
      </c>
    </row>
    <row r="35" spans="4:8" x14ac:dyDescent="0.2">
      <c r="D35" s="94">
        <f t="shared" si="1"/>
        <v>32</v>
      </c>
      <c r="E35" s="91" t="s">
        <v>189</v>
      </c>
      <c r="G35" s="94">
        <f t="shared" si="2"/>
        <v>32</v>
      </c>
      <c r="H35" s="91" t="s">
        <v>192</v>
      </c>
    </row>
    <row r="36" spans="4:8" x14ac:dyDescent="0.2">
      <c r="D36" s="94">
        <f t="shared" si="1"/>
        <v>33</v>
      </c>
      <c r="E36" s="91" t="s">
        <v>191</v>
      </c>
      <c r="G36" s="94">
        <f t="shared" si="2"/>
        <v>33</v>
      </c>
      <c r="H36" s="91" t="s">
        <v>1040</v>
      </c>
    </row>
    <row r="37" spans="4:8" x14ac:dyDescent="0.2">
      <c r="D37" s="94">
        <f t="shared" si="1"/>
        <v>34</v>
      </c>
      <c r="E37" s="91" t="s">
        <v>192</v>
      </c>
      <c r="G37" s="94">
        <f t="shared" si="2"/>
        <v>34</v>
      </c>
      <c r="H37" s="91" t="s">
        <v>193</v>
      </c>
    </row>
    <row r="38" spans="4:8" x14ac:dyDescent="0.2">
      <c r="D38" s="94">
        <f t="shared" si="1"/>
        <v>35</v>
      </c>
      <c r="E38" s="91" t="s">
        <v>1040</v>
      </c>
      <c r="G38" s="94">
        <f t="shared" si="2"/>
        <v>35</v>
      </c>
      <c r="H38" s="91" t="s">
        <v>1041</v>
      </c>
    </row>
    <row r="39" spans="4:8" x14ac:dyDescent="0.2">
      <c r="D39" s="94">
        <f t="shared" si="1"/>
        <v>36</v>
      </c>
      <c r="E39" s="91" t="s">
        <v>193</v>
      </c>
      <c r="G39" s="94">
        <f t="shared" si="2"/>
        <v>36</v>
      </c>
      <c r="H39" s="91" t="s">
        <v>195</v>
      </c>
    </row>
    <row r="40" spans="4:8" x14ac:dyDescent="0.2">
      <c r="D40" s="94">
        <f t="shared" si="1"/>
        <v>37</v>
      </c>
      <c r="E40" s="91" t="s">
        <v>1041</v>
      </c>
      <c r="G40" s="94">
        <f t="shared" si="2"/>
        <v>37</v>
      </c>
      <c r="H40" s="91" t="s">
        <v>197</v>
      </c>
    </row>
    <row r="41" spans="4:8" x14ac:dyDescent="0.2">
      <c r="D41" s="94">
        <f t="shared" si="1"/>
        <v>38</v>
      </c>
      <c r="E41" s="91" t="s">
        <v>195</v>
      </c>
      <c r="G41" s="94">
        <f>G40+1</f>
        <v>38</v>
      </c>
      <c r="H41" s="91" t="s">
        <v>199</v>
      </c>
    </row>
    <row r="42" spans="4:8" x14ac:dyDescent="0.2">
      <c r="D42" s="94">
        <f t="shared" si="1"/>
        <v>39</v>
      </c>
      <c r="E42" s="91" t="s">
        <v>197</v>
      </c>
      <c r="G42" s="94">
        <f t="shared" si="2"/>
        <v>39</v>
      </c>
      <c r="H42" s="91" t="s">
        <v>201</v>
      </c>
    </row>
    <row r="43" spans="4:8" x14ac:dyDescent="0.2">
      <c r="D43" s="94">
        <f t="shared" si="1"/>
        <v>40</v>
      </c>
      <c r="E43" s="91" t="s">
        <v>199</v>
      </c>
      <c r="H43" s="97" t="s">
        <v>207</v>
      </c>
    </row>
    <row r="44" spans="4:8" x14ac:dyDescent="0.2">
      <c r="D44" s="94">
        <f t="shared" si="1"/>
        <v>41</v>
      </c>
      <c r="E44" s="91" t="s">
        <v>201</v>
      </c>
    </row>
    <row r="45" spans="4:8" x14ac:dyDescent="0.2">
      <c r="E45" s="97" t="s">
        <v>206</v>
      </c>
    </row>
  </sheetData>
  <pageMargins left="0.70866141732283472" right="0.70866141732283472" top="0.51181102362204722" bottom="0.51181102362204722" header="0.51181102362204722" footer="0.35433070866141736"/>
  <pageSetup paperSize="9" orientation="landscape" horizontalDpi="4294967292" verticalDpi="4294967292" r:id="rId1"/>
  <headerFooter alignWithMargins="0">
    <oddFooter xml:space="preserve">&amp;L&amp;F : &amp;A&amp;CPrinted at &amp;T on &amp;D&amp;RCommercial in confidence © Analysys Mason </oddFooter>
  </headerFooter>
  <ignoredErrors>
    <ignoredError sqref="D5:D44 B5:B11 G5:G42 J5:J24 M5:M23" unlocked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0C53E2-5D14-4F3B-81DC-1B2218143178}">
  <sheetPr codeName="Hoja5"/>
  <dimension ref="A1:BA90"/>
  <sheetViews>
    <sheetView showGridLines="0" tabSelected="1" zoomScale="142" zoomScaleNormal="85" workbookViewId="0">
      <pane xSplit="7" ySplit="2" topLeftCell="H12" activePane="bottomRight" state="frozen"/>
      <selection activeCell="H120" sqref="H120"/>
      <selection pane="topRight" activeCell="H120" sqref="H120"/>
      <selection pane="bottomLeft" activeCell="H120" sqref="H120"/>
      <selection pane="bottomRight" activeCell="J36" sqref="J36"/>
    </sheetView>
  </sheetViews>
  <sheetFormatPr baseColWidth="10" defaultRowHeight="11.4" outlineLevelRow="1" outlineLevelCol="1" x14ac:dyDescent="0.2"/>
  <cols>
    <col min="1" max="1" width="6.875" customWidth="1"/>
    <col min="2" max="2" width="5.625" customWidth="1"/>
    <col min="3" max="4" width="4.875" customWidth="1"/>
    <col min="5" max="5" width="17.125" customWidth="1"/>
    <col min="6" max="6" width="18.125" customWidth="1"/>
    <col min="7" max="7" width="19.875" customWidth="1"/>
    <col min="8" max="8" width="14.375" customWidth="1"/>
    <col min="9" max="9" width="10.125" customWidth="1"/>
    <col min="10" max="10" width="12.875" customWidth="1" outlineLevel="1"/>
    <col min="12" max="12" width="12" customWidth="1"/>
  </cols>
  <sheetData>
    <row r="1" spans="1:53" s="87" customFormat="1" ht="33.75" customHeight="1" x14ac:dyDescent="0.2">
      <c r="C1" s="87" t="s">
        <v>211</v>
      </c>
    </row>
    <row r="2" spans="1:53" ht="12" x14ac:dyDescent="0.2">
      <c r="C2" s="73"/>
      <c r="D2" s="73" t="s">
        <v>212</v>
      </c>
      <c r="E2" s="43"/>
      <c r="F2" s="43"/>
      <c r="G2" s="43"/>
      <c r="H2" s="43" t="s">
        <v>213</v>
      </c>
      <c r="I2" s="43"/>
      <c r="J2" s="43" t="s">
        <v>214</v>
      </c>
      <c r="K2" s="43"/>
      <c r="L2" s="43" t="s">
        <v>215</v>
      </c>
      <c r="M2" s="43"/>
      <c r="N2" s="43"/>
      <c r="O2" s="43"/>
      <c r="P2" s="43"/>
      <c r="Q2" s="43"/>
      <c r="R2" s="43"/>
      <c r="S2" s="43"/>
      <c r="T2" s="43"/>
      <c r="U2" s="43"/>
      <c r="V2" s="43"/>
      <c r="W2" s="43"/>
      <c r="X2" s="43"/>
      <c r="Y2" s="43"/>
      <c r="Z2" s="43"/>
      <c r="AA2" s="43"/>
      <c r="AB2" s="43"/>
      <c r="AC2" s="43"/>
    </row>
    <row r="3" spans="1:53" ht="12" x14ac:dyDescent="0.2">
      <c r="A3" s="99">
        <v>1</v>
      </c>
      <c r="B3" s="99" t="s">
        <v>216</v>
      </c>
      <c r="C3" s="76"/>
      <c r="D3" s="76"/>
      <c r="E3" s="76"/>
      <c r="F3" s="76"/>
      <c r="G3" s="76"/>
      <c r="H3" s="76"/>
      <c r="I3" s="76"/>
      <c r="J3" s="76"/>
      <c r="K3" s="76"/>
      <c r="L3" s="76"/>
      <c r="M3" s="76"/>
      <c r="N3" s="76"/>
      <c r="O3" s="76"/>
      <c r="P3" s="76"/>
      <c r="Q3" s="76"/>
      <c r="R3" s="76"/>
      <c r="S3" s="76"/>
      <c r="T3" s="76"/>
      <c r="U3" s="76"/>
      <c r="V3" s="76"/>
      <c r="W3" s="76"/>
      <c r="X3" s="76"/>
      <c r="Y3" s="76"/>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row>
    <row r="5" spans="1:53" ht="12" x14ac:dyDescent="0.2">
      <c r="C5" s="100">
        <v>1</v>
      </c>
      <c r="D5" s="101" t="s">
        <v>217</v>
      </c>
    </row>
    <row r="6" spans="1:53" x14ac:dyDescent="0.2">
      <c r="D6" s="102" t="s">
        <v>216</v>
      </c>
      <c r="H6" s="19" t="s">
        <v>218</v>
      </c>
      <c r="I6" s="89">
        <v>2025</v>
      </c>
      <c r="J6" s="82" t="s">
        <v>219</v>
      </c>
    </row>
    <row r="8" spans="1:53" ht="12" x14ac:dyDescent="0.2">
      <c r="A8" s="99">
        <v>2</v>
      </c>
      <c r="B8" s="99" t="s">
        <v>220</v>
      </c>
      <c r="C8" s="76"/>
      <c r="D8" s="76"/>
      <c r="E8" s="76"/>
      <c r="F8" s="76"/>
      <c r="G8" s="76"/>
      <c r="H8" s="76"/>
      <c r="I8" s="76"/>
      <c r="J8" s="76"/>
      <c r="K8" s="76"/>
      <c r="L8" s="76"/>
      <c r="M8" s="76"/>
      <c r="N8" s="76"/>
      <c r="O8" s="76"/>
      <c r="P8" s="76"/>
      <c r="Q8" s="76"/>
      <c r="R8" s="76"/>
      <c r="S8" s="76"/>
      <c r="T8" s="76"/>
      <c r="U8" s="76"/>
      <c r="V8" s="76"/>
      <c r="W8" s="76"/>
      <c r="X8" s="76"/>
      <c r="Y8" s="76"/>
      <c r="Z8" s="76"/>
      <c r="AA8" s="76"/>
      <c r="AB8" s="76"/>
      <c r="AC8" s="76"/>
      <c r="AD8" s="76"/>
      <c r="AE8" s="76"/>
      <c r="AF8" s="76"/>
      <c r="AG8" s="76"/>
      <c r="AH8" s="76"/>
      <c r="AI8" s="76"/>
      <c r="AJ8" s="76"/>
      <c r="AK8" s="76"/>
      <c r="AL8" s="76"/>
      <c r="AM8" s="76"/>
      <c r="AN8" s="76"/>
      <c r="AO8" s="76"/>
      <c r="AP8" s="76"/>
      <c r="AQ8" s="76"/>
      <c r="AR8" s="76"/>
      <c r="AS8" s="76"/>
      <c r="AT8" s="76"/>
      <c r="AU8" s="76"/>
      <c r="AV8" s="76"/>
      <c r="AW8" s="76"/>
      <c r="AX8" s="76"/>
      <c r="AY8" s="76"/>
      <c r="AZ8" s="76"/>
      <c r="BA8" s="76"/>
    </row>
    <row r="9" spans="1:53" x14ac:dyDescent="0.2">
      <c r="N9" s="528"/>
      <c r="O9" s="528"/>
      <c r="P9" s="528"/>
      <c r="Q9" s="528"/>
      <c r="R9" s="528"/>
      <c r="S9" s="528"/>
      <c r="T9" s="528"/>
      <c r="U9" s="528"/>
      <c r="V9" s="528"/>
      <c r="W9" s="103"/>
      <c r="X9" s="526"/>
      <c r="Y9" s="526"/>
      <c r="Z9" s="526"/>
      <c r="AA9" s="526"/>
      <c r="AB9" s="526"/>
      <c r="AC9" s="526"/>
    </row>
    <row r="10" spans="1:53" ht="12" x14ac:dyDescent="0.2">
      <c r="C10" s="100">
        <v>1</v>
      </c>
      <c r="D10" s="101" t="s">
        <v>221</v>
      </c>
    </row>
    <row r="11" spans="1:53" ht="12" x14ac:dyDescent="0.2">
      <c r="D11" s="102" t="s">
        <v>222</v>
      </c>
      <c r="H11" s="19" t="s">
        <v>223</v>
      </c>
      <c r="I11" s="104">
        <v>1.3326666666666671E-2</v>
      </c>
      <c r="J11" s="82" t="s">
        <v>224</v>
      </c>
      <c r="L11" s="101" t="s">
        <v>1074</v>
      </c>
    </row>
    <row r="12" spans="1:53" x14ac:dyDescent="0.2">
      <c r="L12" s="105"/>
    </row>
    <row r="13" spans="1:53" ht="12" x14ac:dyDescent="0.2">
      <c r="C13" s="93">
        <f>C10+1</f>
        <v>2</v>
      </c>
      <c r="D13" s="101" t="s">
        <v>225</v>
      </c>
      <c r="L13" s="526"/>
      <c r="M13" s="526"/>
      <c r="N13" s="526"/>
      <c r="O13" s="526"/>
      <c r="P13" s="526"/>
      <c r="Q13" s="526"/>
      <c r="R13" s="526"/>
      <c r="S13" s="526"/>
      <c r="T13" s="526"/>
      <c r="U13" s="526"/>
    </row>
    <row r="14" spans="1:53" ht="12" x14ac:dyDescent="0.2">
      <c r="D14" s="102" t="s">
        <v>226</v>
      </c>
      <c r="H14" s="19" t="s">
        <v>223</v>
      </c>
      <c r="I14" s="104">
        <v>4.0548337885839066E-2</v>
      </c>
      <c r="J14" s="82" t="s">
        <v>227</v>
      </c>
      <c r="L14" s="101" t="s">
        <v>1073</v>
      </c>
    </row>
    <row r="16" spans="1:53" ht="12" x14ac:dyDescent="0.2">
      <c r="C16" s="93">
        <f>C13+1</f>
        <v>3</v>
      </c>
      <c r="D16" s="101" t="s">
        <v>228</v>
      </c>
      <c r="L16" s="526"/>
      <c r="M16" s="526"/>
      <c r="N16" s="526"/>
      <c r="O16" s="526"/>
      <c r="P16" s="526"/>
      <c r="Q16" s="526"/>
      <c r="R16" s="526"/>
      <c r="S16" s="526"/>
      <c r="T16" s="526"/>
      <c r="U16" s="526"/>
    </row>
    <row r="17" spans="3:21" ht="12" x14ac:dyDescent="0.2">
      <c r="D17" s="102" t="s">
        <v>229</v>
      </c>
      <c r="H17" s="19" t="s">
        <v>223</v>
      </c>
      <c r="I17" s="106">
        <v>1.9334574346024435E-2</v>
      </c>
      <c r="J17" s="82" t="s">
        <v>230</v>
      </c>
      <c r="L17" s="103" t="s">
        <v>1072</v>
      </c>
    </row>
    <row r="19" spans="3:21" ht="12" x14ac:dyDescent="0.2">
      <c r="C19" s="93">
        <f>C16+1</f>
        <v>4</v>
      </c>
      <c r="D19" s="101" t="s">
        <v>231</v>
      </c>
    </row>
    <row r="20" spans="3:21" x14ac:dyDescent="0.2">
      <c r="D20" s="102" t="s">
        <v>232</v>
      </c>
    </row>
    <row r="21" spans="3:21" x14ac:dyDescent="0.2">
      <c r="D21" s="107" t="s">
        <v>233</v>
      </c>
      <c r="H21" s="19" t="s">
        <v>234</v>
      </c>
      <c r="I21" s="108">
        <v>0</v>
      </c>
      <c r="J21" s="82" t="s">
        <v>235</v>
      </c>
      <c r="L21" t="s">
        <v>236</v>
      </c>
    </row>
    <row r="22" spans="3:21" x14ac:dyDescent="0.2">
      <c r="D22" s="107" t="s">
        <v>237</v>
      </c>
      <c r="H22" s="19" t="s">
        <v>234</v>
      </c>
      <c r="I22" s="108">
        <v>1800</v>
      </c>
      <c r="J22" s="82" t="s">
        <v>238</v>
      </c>
    </row>
    <row r="24" spans="3:21" x14ac:dyDescent="0.2">
      <c r="D24" s="102" t="s">
        <v>239</v>
      </c>
      <c r="H24" s="19"/>
    </row>
    <row r="25" spans="3:21" x14ac:dyDescent="0.2">
      <c r="D25" s="107" t="s">
        <v>233</v>
      </c>
      <c r="H25" s="19" t="s">
        <v>223</v>
      </c>
      <c r="I25" s="106">
        <v>0</v>
      </c>
      <c r="J25" s="109" t="s">
        <v>240</v>
      </c>
      <c r="K25" s="110"/>
      <c r="L25" t="s">
        <v>236</v>
      </c>
    </row>
    <row r="26" spans="3:21" ht="12" x14ac:dyDescent="0.2">
      <c r="D26" s="107" t="s">
        <v>237</v>
      </c>
      <c r="H26" s="19" t="s">
        <v>223</v>
      </c>
      <c r="I26" s="106">
        <v>6.4572527038152416E-2</v>
      </c>
      <c r="J26" s="109" t="s">
        <v>241</v>
      </c>
      <c r="K26" s="110"/>
      <c r="L26" s="103" t="s">
        <v>1030</v>
      </c>
    </row>
    <row r="27" spans="3:21" x14ac:dyDescent="0.2">
      <c r="I27" s="110"/>
      <c r="J27" s="111"/>
      <c r="K27" s="110"/>
      <c r="L27" s="112"/>
      <c r="M27" s="113"/>
    </row>
    <row r="28" spans="3:21" ht="12" x14ac:dyDescent="0.2">
      <c r="C28" s="93">
        <f>C19+1</f>
        <v>5</v>
      </c>
      <c r="D28" s="101" t="s">
        <v>242</v>
      </c>
      <c r="J28" s="114"/>
      <c r="L28" s="526"/>
      <c r="M28" s="526"/>
      <c r="N28" s="526"/>
      <c r="O28" s="526"/>
      <c r="P28" s="526"/>
      <c r="Q28" s="526"/>
      <c r="R28" s="526"/>
      <c r="S28" s="526"/>
      <c r="T28" s="526"/>
      <c r="U28" s="526"/>
    </row>
    <row r="29" spans="3:21" x14ac:dyDescent="0.2">
      <c r="D29" s="102" t="s">
        <v>243</v>
      </c>
      <c r="J29" s="114"/>
    </row>
    <row r="30" spans="3:21" x14ac:dyDescent="0.2">
      <c r="D30" s="107" t="s">
        <v>237</v>
      </c>
      <c r="H30" s="19" t="s">
        <v>244</v>
      </c>
      <c r="I30" s="108">
        <v>944.74650977260421</v>
      </c>
      <c r="J30" s="82" t="s">
        <v>245</v>
      </c>
      <c r="L30" t="s">
        <v>246</v>
      </c>
    </row>
    <row r="31" spans="3:21" x14ac:dyDescent="0.2">
      <c r="D31" s="107" t="s">
        <v>233</v>
      </c>
      <c r="H31" s="19" t="s">
        <v>244</v>
      </c>
      <c r="I31" s="115">
        <f>I30*5</f>
        <v>4723.7325488630213</v>
      </c>
      <c r="J31" s="82" t="s">
        <v>247</v>
      </c>
    </row>
    <row r="32" spans="3:21" ht="12" x14ac:dyDescent="0.2">
      <c r="D32" s="116"/>
      <c r="L32" s="101" t="s">
        <v>248</v>
      </c>
    </row>
    <row r="33" spans="3:36" ht="12" x14ac:dyDescent="0.2">
      <c r="D33" s="102" t="s">
        <v>249</v>
      </c>
      <c r="H33" s="19" t="s">
        <v>250</v>
      </c>
      <c r="I33" s="519">
        <f>I34*(1+N41)</f>
        <v>17763.928930116745</v>
      </c>
      <c r="J33" s="82" t="s">
        <v>251</v>
      </c>
      <c r="L33" s="118">
        <v>42850</v>
      </c>
      <c r="M33" t="s">
        <v>223</v>
      </c>
      <c r="N33" s="119">
        <v>5.8999999999999997E-2</v>
      </c>
      <c r="P33" t="s">
        <v>252</v>
      </c>
    </row>
    <row r="34" spans="3:36" ht="12" outlineLevel="1" x14ac:dyDescent="0.2">
      <c r="D34" s="102"/>
      <c r="H34" s="19"/>
      <c r="I34" s="590">
        <v>16998.975052743299</v>
      </c>
      <c r="J34" s="82"/>
      <c r="L34" s="118">
        <v>43215</v>
      </c>
      <c r="M34" t="s">
        <v>223</v>
      </c>
      <c r="N34" s="119">
        <v>5.8999999999999997E-2</v>
      </c>
      <c r="P34" t="s">
        <v>253</v>
      </c>
    </row>
    <row r="35" spans="3:36" ht="12" outlineLevel="1" x14ac:dyDescent="0.2">
      <c r="D35" s="102"/>
      <c r="H35" s="19"/>
      <c r="I35" s="82"/>
      <c r="J35" s="82"/>
      <c r="L35" s="118">
        <v>43581</v>
      </c>
      <c r="M35" t="s">
        <v>223</v>
      </c>
      <c r="N35" s="119">
        <f>0.04+0.0112</f>
        <v>5.1200000000000002E-2</v>
      </c>
      <c r="P35" t="s">
        <v>254</v>
      </c>
    </row>
    <row r="36" spans="3:36" ht="12" outlineLevel="1" x14ac:dyDescent="0.2">
      <c r="D36" s="102"/>
      <c r="H36" s="19"/>
      <c r="I36" s="82"/>
      <c r="J36" s="82"/>
      <c r="L36" s="120">
        <v>44075</v>
      </c>
      <c r="N36" s="119">
        <f>0.035+0.01</f>
        <v>4.5000000000000005E-2</v>
      </c>
      <c r="P36" t="s">
        <v>255</v>
      </c>
    </row>
    <row r="37" spans="3:36" ht="12" outlineLevel="1" x14ac:dyDescent="0.2">
      <c r="D37" s="102"/>
      <c r="H37" s="19"/>
      <c r="I37" s="82"/>
      <c r="J37" s="82"/>
      <c r="L37" s="121">
        <v>44337</v>
      </c>
      <c r="M37" t="s">
        <v>223</v>
      </c>
      <c r="N37" s="119">
        <f>3.4%+0.8%</f>
        <v>4.2000000000000003E-2</v>
      </c>
      <c r="P37" t="s">
        <v>256</v>
      </c>
    </row>
    <row r="38" spans="3:36" ht="12" x14ac:dyDescent="0.2">
      <c r="D38" s="102"/>
      <c r="H38" s="19"/>
      <c r="I38" s="82"/>
      <c r="J38" s="82"/>
      <c r="L38" s="121">
        <v>44734</v>
      </c>
      <c r="M38" t="s">
        <v>223</v>
      </c>
      <c r="N38" s="119">
        <v>4.4999999999999998E-2</v>
      </c>
      <c r="P38" t="s">
        <v>257</v>
      </c>
    </row>
    <row r="39" spans="3:36" ht="12" x14ac:dyDescent="0.2">
      <c r="D39" s="102"/>
      <c r="H39" s="19"/>
      <c r="I39" s="82"/>
      <c r="J39" s="82"/>
      <c r="L39" s="121">
        <v>45082</v>
      </c>
      <c r="M39" t="s">
        <v>223</v>
      </c>
      <c r="N39" s="119">
        <v>5.6000000000000001E-2</v>
      </c>
      <c r="P39" t="s">
        <v>258</v>
      </c>
    </row>
    <row r="40" spans="3:36" ht="12" x14ac:dyDescent="0.2">
      <c r="J40" s="122"/>
      <c r="L40" s="121">
        <v>45474</v>
      </c>
      <c r="M40" t="s">
        <v>223</v>
      </c>
      <c r="N40" s="119">
        <v>5.0999999999999997E-2</v>
      </c>
      <c r="P40" t="s">
        <v>1033</v>
      </c>
    </row>
    <row r="41" spans="3:36" ht="12" x14ac:dyDescent="0.2">
      <c r="J41" s="122"/>
      <c r="L41" s="121">
        <v>45838</v>
      </c>
      <c r="N41" s="119">
        <v>4.4999999999999998E-2</v>
      </c>
      <c r="P41" s="520" t="s">
        <v>1071</v>
      </c>
    </row>
    <row r="42" spans="3:36" ht="12" x14ac:dyDescent="0.2">
      <c r="C42" s="93">
        <f>C28+1</f>
        <v>6</v>
      </c>
      <c r="D42" s="101" t="s">
        <v>259</v>
      </c>
      <c r="O42" s="118"/>
      <c r="Q42" s="103"/>
      <c r="R42" s="103"/>
      <c r="S42" s="103"/>
      <c r="T42" s="103"/>
      <c r="U42" s="103"/>
      <c r="V42" s="103"/>
      <c r="W42" s="103"/>
      <c r="X42" s="103"/>
      <c r="Y42" s="103"/>
      <c r="Z42" s="103"/>
      <c r="AA42" s="103"/>
      <c r="AB42" s="103"/>
      <c r="AC42" s="103"/>
      <c r="AD42" s="103"/>
      <c r="AE42" s="103"/>
      <c r="AF42" s="103"/>
      <c r="AG42" s="103"/>
      <c r="AH42" s="103"/>
      <c r="AI42" s="103"/>
      <c r="AJ42" s="103"/>
    </row>
    <row r="43" spans="3:36" ht="13.2" x14ac:dyDescent="0.2">
      <c r="D43" t="s">
        <v>260</v>
      </c>
      <c r="H43" s="19" t="s">
        <v>261</v>
      </c>
      <c r="I43" s="523">
        <v>10</v>
      </c>
      <c r="J43" s="82" t="s">
        <v>262</v>
      </c>
      <c r="L43" t="s">
        <v>1029</v>
      </c>
      <c r="Q43" s="526"/>
      <c r="R43" s="526"/>
      <c r="S43" s="526"/>
      <c r="T43" s="526"/>
      <c r="U43" s="526"/>
      <c r="V43" s="526"/>
      <c r="W43" s="526"/>
      <c r="X43" s="526"/>
      <c r="Y43" s="526"/>
      <c r="Z43" s="526"/>
      <c r="AA43" s="527"/>
      <c r="AB43" s="527"/>
      <c r="AC43" s="527"/>
      <c r="AD43" s="527"/>
      <c r="AE43" s="527"/>
      <c r="AF43" s="527"/>
      <c r="AG43" s="527"/>
      <c r="AH43" s="527"/>
      <c r="AI43" s="527"/>
      <c r="AJ43" s="527"/>
    </row>
    <row r="44" spans="3:36" x14ac:dyDescent="0.2">
      <c r="D44" s="102"/>
    </row>
    <row r="45" spans="3:36" ht="13.2" x14ac:dyDescent="0.2">
      <c r="D45" s="102" t="s">
        <v>263</v>
      </c>
      <c r="H45" s="19" t="s">
        <v>264</v>
      </c>
      <c r="I45" s="524">
        <v>791</v>
      </c>
      <c r="J45" s="82" t="s">
        <v>265</v>
      </c>
      <c r="L45" t="s">
        <v>1029</v>
      </c>
    </row>
    <row r="46" spans="3:36" x14ac:dyDescent="0.2">
      <c r="D46" s="102"/>
      <c r="H46" s="19"/>
      <c r="I46" s="19"/>
      <c r="J46" s="19"/>
    </row>
    <row r="47" spans="3:36" ht="12" x14ac:dyDescent="0.2">
      <c r="D47" s="102" t="s">
        <v>266</v>
      </c>
      <c r="H47" s="19" t="s">
        <v>223</v>
      </c>
      <c r="I47" s="525">
        <v>0.1293</v>
      </c>
      <c r="J47" s="82" t="s">
        <v>267</v>
      </c>
      <c r="L47" t="s">
        <v>1029</v>
      </c>
    </row>
    <row r="48" spans="3:36" x14ac:dyDescent="0.2">
      <c r="D48" s="102"/>
      <c r="H48" s="19"/>
      <c r="I48" s="125"/>
    </row>
    <row r="49" spans="1:53" ht="12" x14ac:dyDescent="0.2">
      <c r="D49" t="s">
        <v>268</v>
      </c>
      <c r="H49" s="19" t="s">
        <v>223</v>
      </c>
      <c r="I49" s="525">
        <v>1.7500000000000002E-2</v>
      </c>
      <c r="J49" s="82" t="s">
        <v>269</v>
      </c>
      <c r="L49" t="s">
        <v>1031</v>
      </c>
    </row>
    <row r="51" spans="1:53" ht="12" x14ac:dyDescent="0.2">
      <c r="C51" s="93">
        <f>C42+1</f>
        <v>7</v>
      </c>
      <c r="D51" s="101" t="s">
        <v>270</v>
      </c>
      <c r="L51" s="126"/>
    </row>
    <row r="52" spans="1:53" ht="12" x14ac:dyDescent="0.2">
      <c r="D52" s="102" t="s">
        <v>270</v>
      </c>
      <c r="H52" s="19" t="s">
        <v>223</v>
      </c>
      <c r="I52" s="127">
        <v>0.10970000000000001</v>
      </c>
      <c r="J52" s="82" t="s">
        <v>271</v>
      </c>
      <c r="L52" s="103" t="s">
        <v>1032</v>
      </c>
    </row>
    <row r="53" spans="1:53" x14ac:dyDescent="0.2">
      <c r="L53" s="105"/>
    </row>
    <row r="54" spans="1:53" ht="12" x14ac:dyDescent="0.2">
      <c r="A54" s="99">
        <v>3</v>
      </c>
      <c r="B54" s="99" t="s">
        <v>272</v>
      </c>
      <c r="C54" s="76"/>
      <c r="D54" s="76"/>
      <c r="E54" s="76"/>
      <c r="F54" s="76"/>
      <c r="G54" s="76"/>
      <c r="H54" s="76"/>
      <c r="I54" s="76"/>
      <c r="J54" s="76"/>
      <c r="K54" s="76"/>
      <c r="L54" s="76"/>
      <c r="M54" s="76"/>
      <c r="N54" s="76"/>
      <c r="O54" s="76"/>
      <c r="P54" s="76"/>
      <c r="Q54" s="76"/>
      <c r="R54" s="76"/>
      <c r="S54" s="76"/>
      <c r="T54" s="76"/>
      <c r="U54" s="76"/>
      <c r="V54" s="76"/>
      <c r="W54" s="76"/>
      <c r="X54" s="76"/>
      <c r="Y54" s="76"/>
      <c r="Z54" s="76"/>
      <c r="AA54" s="76"/>
      <c r="AB54" s="76"/>
      <c r="AC54" s="76"/>
      <c r="AD54" s="76"/>
      <c r="AE54" s="76"/>
      <c r="AF54" s="76"/>
      <c r="AG54" s="76"/>
      <c r="AH54" s="76"/>
      <c r="AI54" s="76"/>
      <c r="AJ54" s="76"/>
      <c r="AK54" s="76"/>
      <c r="AL54" s="76"/>
      <c r="AM54" s="76"/>
      <c r="AN54" s="76"/>
      <c r="AO54" s="76"/>
      <c r="AP54" s="76"/>
      <c r="AQ54" s="76"/>
      <c r="AR54" s="76"/>
      <c r="AS54" s="76"/>
      <c r="AT54" s="76"/>
      <c r="AU54" s="76"/>
      <c r="AV54" s="76"/>
      <c r="AW54" s="76"/>
      <c r="AX54" s="76"/>
      <c r="AY54" s="76"/>
      <c r="AZ54" s="76"/>
      <c r="BA54" s="76"/>
    </row>
    <row r="56" spans="1:53" ht="12" x14ac:dyDescent="0.2">
      <c r="C56" s="100">
        <v>1</v>
      </c>
      <c r="D56" s="101" t="s">
        <v>273</v>
      </c>
      <c r="L56" s="103"/>
    </row>
    <row r="57" spans="1:53" ht="12" x14ac:dyDescent="0.2">
      <c r="D57" s="102" t="s">
        <v>273</v>
      </c>
      <c r="H57" s="19" t="s">
        <v>274</v>
      </c>
      <c r="I57" s="128">
        <v>5</v>
      </c>
      <c r="J57" s="82" t="s">
        <v>275</v>
      </c>
      <c r="L57" s="103" t="s">
        <v>276</v>
      </c>
    </row>
    <row r="58" spans="1:53" x14ac:dyDescent="0.2">
      <c r="L58" s="103"/>
    </row>
    <row r="59" spans="1:53" ht="12" x14ac:dyDescent="0.2">
      <c r="C59" s="93">
        <f>1+C56</f>
        <v>2</v>
      </c>
      <c r="D59" s="101" t="s">
        <v>277</v>
      </c>
      <c r="L59" s="103"/>
    </row>
    <row r="60" spans="1:53" ht="12" x14ac:dyDescent="0.2">
      <c r="D60" s="102" t="s">
        <v>278</v>
      </c>
      <c r="E60" s="102"/>
      <c r="H60" s="19" t="s">
        <v>279</v>
      </c>
      <c r="I60" s="128">
        <v>92.492615930921417</v>
      </c>
      <c r="J60" s="82" t="s">
        <v>280</v>
      </c>
      <c r="L60" s="103" t="s">
        <v>281</v>
      </c>
    </row>
    <row r="61" spans="1:53" x14ac:dyDescent="0.2">
      <c r="D61" s="102"/>
      <c r="E61" s="102"/>
      <c r="H61" s="19"/>
      <c r="J61" s="82"/>
      <c r="L61" s="103"/>
    </row>
    <row r="62" spans="1:53" ht="12" x14ac:dyDescent="0.2">
      <c r="D62" s="102" t="s">
        <v>282</v>
      </c>
      <c r="E62" s="102"/>
      <c r="H62" s="19" t="s">
        <v>279</v>
      </c>
      <c r="I62" s="128">
        <v>102.50666565128724</v>
      </c>
      <c r="J62" s="82" t="s">
        <v>283</v>
      </c>
      <c r="L62" s="103" t="s">
        <v>284</v>
      </c>
    </row>
    <row r="63" spans="1:53" x14ac:dyDescent="0.2">
      <c r="D63" s="102"/>
      <c r="E63" s="102"/>
      <c r="F63" s="102"/>
      <c r="G63" s="102"/>
      <c r="H63" s="102"/>
      <c r="I63" s="102"/>
      <c r="J63" s="102"/>
      <c r="K63" s="102"/>
    </row>
    <row r="64" spans="1:53" ht="12" x14ac:dyDescent="0.2">
      <c r="C64" s="93">
        <f>1+C59</f>
        <v>3</v>
      </c>
      <c r="D64" s="129" t="s">
        <v>285</v>
      </c>
      <c r="E64" s="103"/>
      <c r="F64" s="103"/>
      <c r="I64" s="102"/>
      <c r="J64" s="82"/>
    </row>
    <row r="65" spans="1:53" ht="12" x14ac:dyDescent="0.2">
      <c r="D65" s="102" t="s">
        <v>286</v>
      </c>
      <c r="E65" s="102"/>
      <c r="H65" s="19" t="s">
        <v>279</v>
      </c>
      <c r="I65" s="124">
        <f>1149/12/(1+16%)</f>
        <v>82.543103448275872</v>
      </c>
      <c r="J65" s="82" t="s">
        <v>287</v>
      </c>
      <c r="L65" t="s">
        <v>288</v>
      </c>
      <c r="R65" s="130"/>
      <c r="S65" s="131"/>
      <c r="T65" s="131"/>
      <c r="U65" s="131"/>
      <c r="V65" s="131"/>
      <c r="W65" s="131"/>
      <c r="X65" s="131"/>
    </row>
    <row r="66" spans="1:53" x14ac:dyDescent="0.2">
      <c r="D66" s="102"/>
      <c r="E66" s="102"/>
      <c r="H66" s="19"/>
      <c r="I66" s="19"/>
      <c r="J66" s="82"/>
      <c r="L66" s="105" t="s">
        <v>289</v>
      </c>
    </row>
    <row r="67" spans="1:53" ht="12" x14ac:dyDescent="0.2">
      <c r="C67" s="93">
        <f>1+C64</f>
        <v>4</v>
      </c>
      <c r="D67" s="101" t="s">
        <v>290</v>
      </c>
    </row>
    <row r="68" spans="1:53" ht="12" x14ac:dyDescent="0.2">
      <c r="D68" s="102" t="str">
        <f>D67</f>
        <v>Parámetro de reposición de equipos terminales</v>
      </c>
      <c r="E68" s="102"/>
      <c r="H68" s="19" t="s">
        <v>223</v>
      </c>
      <c r="I68" s="132">
        <v>2E-3</v>
      </c>
      <c r="J68" s="82" t="s">
        <v>291</v>
      </c>
      <c r="L68" s="101"/>
    </row>
    <row r="71" spans="1:53" ht="12" x14ac:dyDescent="0.2">
      <c r="A71" s="99"/>
      <c r="B71" s="99" t="s">
        <v>292</v>
      </c>
      <c r="C71" s="76"/>
      <c r="D71" s="76"/>
      <c r="E71" s="76"/>
      <c r="F71" s="76"/>
      <c r="G71" s="76"/>
      <c r="H71" s="76"/>
      <c r="I71" s="76"/>
      <c r="J71" s="76"/>
      <c r="K71" s="76"/>
      <c r="L71" s="76"/>
      <c r="M71" s="76"/>
      <c r="N71" s="76"/>
      <c r="O71" s="76"/>
      <c r="P71" s="76"/>
      <c r="Q71" s="76"/>
      <c r="R71" s="76"/>
      <c r="S71" s="76"/>
      <c r="T71" s="76"/>
      <c r="U71" s="76"/>
      <c r="V71" s="76"/>
      <c r="W71" s="76"/>
      <c r="X71" s="76"/>
      <c r="Y71" s="76"/>
      <c r="Z71" s="76"/>
      <c r="AA71" s="76"/>
      <c r="AB71" s="76"/>
      <c r="AC71" s="76"/>
      <c r="AD71" s="76"/>
      <c r="AE71" s="76"/>
      <c r="AF71" s="76"/>
      <c r="AG71" s="76"/>
      <c r="AH71" s="76"/>
      <c r="AI71" s="76"/>
      <c r="AJ71" s="76"/>
      <c r="AK71" s="76"/>
      <c r="AL71" s="76"/>
      <c r="AM71" s="76"/>
      <c r="AN71" s="76"/>
      <c r="AO71" s="76"/>
      <c r="AP71" s="76"/>
      <c r="AQ71" s="76"/>
      <c r="AR71" s="76"/>
      <c r="AS71" s="76"/>
      <c r="AT71" s="76"/>
      <c r="AU71" s="76"/>
      <c r="AV71" s="76"/>
      <c r="AW71" s="76"/>
      <c r="AX71" s="76"/>
      <c r="AY71" s="76"/>
      <c r="AZ71" s="76"/>
      <c r="BA71" s="76"/>
    </row>
    <row r="77" spans="1:53" ht="117" customHeight="1" x14ac:dyDescent="0.2">
      <c r="R77" s="130"/>
      <c r="S77" s="131"/>
      <c r="T77" s="131"/>
      <c r="U77" s="131"/>
      <c r="V77" s="131"/>
      <c r="W77" s="131"/>
      <c r="X77" s="131"/>
    </row>
    <row r="78" spans="1:53" ht="48.6" customHeight="1" x14ac:dyDescent="0.2">
      <c r="R78" s="130"/>
      <c r="S78" s="131"/>
      <c r="T78" s="131"/>
      <c r="U78" s="131"/>
      <c r="V78" s="131"/>
      <c r="W78" s="131"/>
      <c r="X78" s="131"/>
    </row>
    <row r="79" spans="1:53" x14ac:dyDescent="0.2">
      <c r="R79" s="103"/>
      <c r="S79" s="103"/>
      <c r="T79" s="103"/>
      <c r="U79" s="103"/>
      <c r="V79" s="103"/>
      <c r="W79" s="103"/>
      <c r="X79" s="103"/>
    </row>
    <row r="80" spans="1:53" ht="114.9" customHeight="1" x14ac:dyDescent="0.2">
      <c r="R80" s="130"/>
      <c r="S80" s="131"/>
      <c r="T80" s="131"/>
      <c r="U80" s="131"/>
      <c r="V80" s="131"/>
      <c r="W80" s="131"/>
      <c r="X80" s="131"/>
    </row>
    <row r="90" ht="114.9" customHeight="1" x14ac:dyDescent="0.2"/>
  </sheetData>
  <mergeCells count="7">
    <mergeCell ref="Q43:Z43"/>
    <mergeCell ref="AA43:AJ43"/>
    <mergeCell ref="N9:V9"/>
    <mergeCell ref="X9:AC9"/>
    <mergeCell ref="L13:U13"/>
    <mergeCell ref="L16:U16"/>
    <mergeCell ref="L28:U28"/>
  </mergeCells>
  <hyperlinks>
    <hyperlink ref="L66" r:id="rId1" xr:uid="{A930BC2D-AD09-4D49-BD50-928ADB0ABE6E}"/>
  </hyperlinks>
  <pageMargins left="0.7" right="0.7" top="0.75" bottom="0.75" header="0.3" footer="0.3"/>
  <pageSetup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18543E-2873-4A62-BE4E-B9092F892337}">
  <sheetPr codeName="Hoja6"/>
  <dimension ref="A1:BC243"/>
  <sheetViews>
    <sheetView showGridLines="0" zoomScale="93" zoomScaleNormal="100" workbookViewId="0">
      <selection activeCell="O17" sqref="O17"/>
    </sheetView>
  </sheetViews>
  <sheetFormatPr baseColWidth="10" defaultRowHeight="11.4" outlineLevelCol="1" x14ac:dyDescent="0.2"/>
  <cols>
    <col min="1" max="1" width="3.375" customWidth="1"/>
    <col min="2" max="2" width="4.875" customWidth="1"/>
    <col min="3" max="3" width="9.75" customWidth="1"/>
    <col min="4" max="4" width="4.875" customWidth="1"/>
    <col min="5" max="5" width="52.375" bestFit="1" customWidth="1"/>
    <col min="6" max="6" width="13.125" bestFit="1" customWidth="1"/>
    <col min="7" max="7" width="25" customWidth="1"/>
    <col min="8" max="8" width="12.75" customWidth="1"/>
    <col min="9" max="9" width="20.125" hidden="1" customWidth="1" outlineLevel="1"/>
    <col min="10" max="11" width="14.875" hidden="1" customWidth="1" outlineLevel="1"/>
    <col min="12" max="13" width="13.375" hidden="1" customWidth="1" outlineLevel="1"/>
    <col min="14" max="14" width="16.125" hidden="1" customWidth="1" outlineLevel="1"/>
    <col min="15" max="15" width="16" customWidth="1" collapsed="1"/>
    <col min="16" max="16" width="16" customWidth="1"/>
    <col min="17" max="17" width="11.75" hidden="1" customWidth="1" outlineLevel="1"/>
    <col min="18" max="18" width="25.75" hidden="1" customWidth="1" outlineLevel="1"/>
    <col min="19" max="19" width="12.125" hidden="1" customWidth="1" outlineLevel="1"/>
    <col min="20" max="20" width="11" collapsed="1"/>
    <col min="21" max="21" width="11.75" bestFit="1" customWidth="1"/>
    <col min="24" max="24" width="12.125" bestFit="1" customWidth="1"/>
    <col min="25" max="25" width="15" bestFit="1" customWidth="1"/>
    <col min="27" max="27" width="12.125" bestFit="1" customWidth="1"/>
  </cols>
  <sheetData>
    <row r="1" spans="1:55" s="87" customFormat="1" ht="33.75" customHeight="1" x14ac:dyDescent="0.2">
      <c r="C1" s="87" t="s">
        <v>293</v>
      </c>
    </row>
    <row r="2" spans="1:55" ht="12" x14ac:dyDescent="0.2">
      <c r="C2" s="133" t="s">
        <v>212</v>
      </c>
      <c r="D2" s="43"/>
      <c r="E2" s="43"/>
      <c r="F2" s="43"/>
      <c r="G2" s="43"/>
      <c r="H2" s="43" t="s">
        <v>213</v>
      </c>
      <c r="I2" s="43">
        <f t="array" ref="I2:O2">TRANSPOSE(Years)</f>
        <v>2018</v>
      </c>
      <c r="J2" s="43">
        <v>2019</v>
      </c>
      <c r="K2" s="43">
        <v>2020</v>
      </c>
      <c r="L2" s="43">
        <v>2021</v>
      </c>
      <c r="M2" s="43">
        <v>2022</v>
      </c>
      <c r="N2" s="43">
        <v>2023</v>
      </c>
      <c r="O2" s="43">
        <v>2024</v>
      </c>
      <c r="P2" s="43">
        <v>2025</v>
      </c>
      <c r="Q2" s="134"/>
      <c r="R2" s="43" t="s">
        <v>214</v>
      </c>
      <c r="S2" s="43"/>
      <c r="T2" s="43" t="s">
        <v>215</v>
      </c>
    </row>
    <row r="3" spans="1:55" ht="12" x14ac:dyDescent="0.2">
      <c r="A3" s="99">
        <v>1</v>
      </c>
      <c r="B3" s="99" t="s">
        <v>294</v>
      </c>
      <c r="C3" s="76"/>
      <c r="D3" s="76"/>
      <c r="E3" s="76"/>
      <c r="F3" s="76"/>
      <c r="G3" s="76"/>
      <c r="H3" s="76"/>
      <c r="I3" s="76"/>
      <c r="J3" s="76"/>
      <c r="K3" s="76"/>
      <c r="L3" s="76"/>
      <c r="M3" s="76"/>
      <c r="N3" s="76"/>
      <c r="O3" s="76"/>
      <c r="P3" s="76"/>
      <c r="Q3" s="76"/>
      <c r="R3" s="76"/>
      <c r="S3" s="76"/>
      <c r="T3" s="76"/>
      <c r="U3" s="76"/>
      <c r="V3" s="76"/>
      <c r="W3" s="76"/>
      <c r="X3" s="76"/>
      <c r="Y3" s="76"/>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row>
    <row r="5" spans="1:55" ht="12" x14ac:dyDescent="0.2">
      <c r="B5" s="99">
        <v>1.1000000000000001</v>
      </c>
      <c r="C5" s="99" t="s">
        <v>295</v>
      </c>
      <c r="D5" s="99"/>
      <c r="E5" s="76"/>
      <c r="F5" s="76"/>
      <c r="G5" s="76"/>
      <c r="H5" s="76"/>
      <c r="I5" s="76"/>
      <c r="J5" s="76"/>
      <c r="K5" s="76"/>
      <c r="L5" s="76"/>
      <c r="M5" s="76"/>
      <c r="N5" s="76"/>
      <c r="O5" s="76"/>
      <c r="P5" s="76"/>
      <c r="Q5" s="76"/>
      <c r="R5" s="76"/>
      <c r="S5" s="76"/>
      <c r="T5" s="76"/>
      <c r="U5" s="76"/>
      <c r="V5" s="76"/>
      <c r="W5" s="76"/>
      <c r="X5" s="76"/>
      <c r="Y5" s="76"/>
      <c r="Z5" s="76"/>
      <c r="AA5" s="76"/>
      <c r="AB5" s="76"/>
      <c r="AC5" s="76"/>
      <c r="AD5" s="76"/>
      <c r="AE5" s="76"/>
      <c r="AF5" s="76"/>
      <c r="AG5" s="76"/>
      <c r="AH5" s="76"/>
      <c r="AI5" s="76"/>
      <c r="AJ5" s="76"/>
      <c r="AK5" s="76"/>
      <c r="AL5" s="76"/>
      <c r="AM5" s="76"/>
      <c r="AN5" s="76"/>
      <c r="AO5" s="76"/>
      <c r="AP5" s="76"/>
      <c r="AQ5" s="76"/>
      <c r="AR5" s="76"/>
      <c r="AS5" s="76"/>
      <c r="AT5" s="76"/>
      <c r="AU5" s="76"/>
      <c r="AV5" s="76"/>
      <c r="AW5" s="76"/>
      <c r="AX5" s="76"/>
      <c r="AY5" s="76"/>
      <c r="AZ5" s="76"/>
      <c r="BA5" s="76"/>
      <c r="BB5" s="76"/>
      <c r="BC5" s="76"/>
    </row>
    <row r="6" spans="1:55" x14ac:dyDescent="0.2">
      <c r="L6" s="135"/>
    </row>
    <row r="7" spans="1:55" ht="12" x14ac:dyDescent="0.2">
      <c r="C7" s="101" t="s">
        <v>296</v>
      </c>
      <c r="D7" s="101"/>
      <c r="Y7" s="103"/>
      <c r="Z7" s="103"/>
      <c r="AA7" s="103"/>
      <c r="AB7" s="103"/>
      <c r="AC7" s="103"/>
      <c r="AD7" s="103"/>
      <c r="AE7" s="103"/>
    </row>
    <row r="8" spans="1:55" ht="12" x14ac:dyDescent="0.2">
      <c r="C8" s="102" t="s">
        <v>297</v>
      </c>
      <c r="D8" s="102"/>
      <c r="H8" s="19" t="s">
        <v>298</v>
      </c>
      <c r="I8" s="136"/>
      <c r="J8" s="136"/>
      <c r="K8" s="136"/>
      <c r="L8" s="136"/>
      <c r="M8" s="136"/>
      <c r="N8" s="136"/>
      <c r="O8" s="137">
        <v>25317388</v>
      </c>
      <c r="P8" s="137">
        <v>27283980</v>
      </c>
      <c r="Q8" s="138"/>
      <c r="R8" s="82" t="s">
        <v>299</v>
      </c>
      <c r="T8" s="139" t="s">
        <v>300</v>
      </c>
      <c r="Y8" s="130"/>
      <c r="Z8" s="131"/>
      <c r="AA8" s="131"/>
      <c r="AB8" s="131"/>
      <c r="AC8" s="131"/>
      <c r="AD8" s="131"/>
      <c r="AE8" s="131"/>
    </row>
    <row r="9" spans="1:55" x14ac:dyDescent="0.2">
      <c r="H9" s="19"/>
      <c r="Q9" s="103"/>
    </row>
    <row r="10" spans="1:55" ht="12" x14ac:dyDescent="0.2">
      <c r="C10" s="102" t="s">
        <v>301</v>
      </c>
      <c r="D10" s="102"/>
      <c r="H10" s="19" t="s">
        <v>298</v>
      </c>
      <c r="I10" s="136"/>
      <c r="J10" s="136"/>
      <c r="K10" s="136"/>
      <c r="L10" s="136"/>
      <c r="M10" s="136"/>
      <c r="N10" s="136"/>
      <c r="O10" s="137">
        <v>10488966</v>
      </c>
      <c r="P10" s="137">
        <v>11077440</v>
      </c>
      <c r="Q10" s="138"/>
      <c r="R10" s="82" t="s">
        <v>302</v>
      </c>
      <c r="T10" t="s">
        <v>300</v>
      </c>
      <c r="Y10" s="103"/>
      <c r="Z10" s="103"/>
      <c r="AA10" s="103"/>
      <c r="AB10" s="103"/>
      <c r="AC10" s="103"/>
      <c r="AD10" s="103"/>
      <c r="AE10" s="103"/>
    </row>
    <row r="11" spans="1:55" x14ac:dyDescent="0.2">
      <c r="C11" s="102"/>
      <c r="D11" s="102"/>
      <c r="H11" s="19"/>
      <c r="Q11" s="103"/>
      <c r="Y11" s="529"/>
      <c r="Z11" s="530"/>
      <c r="AA11" s="530"/>
      <c r="AB11" s="530"/>
      <c r="AC11" s="530"/>
      <c r="AD11" s="530"/>
      <c r="AE11" s="530"/>
    </row>
    <row r="12" spans="1:55" ht="12" x14ac:dyDescent="0.2">
      <c r="C12" s="101" t="s">
        <v>303</v>
      </c>
      <c r="D12" s="101"/>
      <c r="H12" s="19"/>
      <c r="Q12" s="103"/>
    </row>
    <row r="13" spans="1:55" ht="12" x14ac:dyDescent="0.2">
      <c r="C13" s="102" t="s">
        <v>304</v>
      </c>
      <c r="D13" s="102"/>
      <c r="H13" s="19" t="s">
        <v>305</v>
      </c>
      <c r="I13" s="140" t="str">
        <f t="shared" ref="I13:P13" si="0">IFERROR(I10/I8,"")</f>
        <v/>
      </c>
      <c r="J13" s="140" t="str">
        <f t="shared" si="0"/>
        <v/>
      </c>
      <c r="K13" s="140" t="str">
        <f t="shared" si="0"/>
        <v/>
      </c>
      <c r="L13" s="140" t="str">
        <f t="shared" si="0"/>
        <v/>
      </c>
      <c r="M13" s="140" t="str">
        <f t="shared" si="0"/>
        <v/>
      </c>
      <c r="N13" s="140" t="str">
        <f t="shared" ref="N13" si="1">IFERROR(N10/N8,"")</f>
        <v/>
      </c>
      <c r="O13" s="140">
        <f t="shared" si="0"/>
        <v>0.41429890002870756</v>
      </c>
      <c r="P13" s="140">
        <f t="shared" si="0"/>
        <v>0.40600528222055582</v>
      </c>
      <c r="Q13" s="141"/>
      <c r="R13" s="82" t="s">
        <v>306</v>
      </c>
      <c r="T13" t="s">
        <v>300</v>
      </c>
    </row>
    <row r="14" spans="1:55" ht="12" x14ac:dyDescent="0.2">
      <c r="C14" s="101"/>
      <c r="D14" s="101"/>
    </row>
    <row r="15" spans="1:55" ht="12" x14ac:dyDescent="0.2">
      <c r="B15" s="99">
        <v>1.2</v>
      </c>
      <c r="C15" s="99" t="s">
        <v>307</v>
      </c>
      <c r="D15" s="99"/>
      <c r="E15" s="76"/>
      <c r="F15" s="76"/>
      <c r="G15" s="76"/>
      <c r="H15" s="76"/>
      <c r="I15" s="76"/>
      <c r="J15" s="76"/>
      <c r="K15" s="76"/>
      <c r="L15" s="76"/>
      <c r="M15" s="76"/>
      <c r="N15" s="76"/>
      <c r="O15" s="76"/>
      <c r="P15" s="76"/>
      <c r="Q15" s="76"/>
      <c r="R15" s="76"/>
      <c r="S15" s="76"/>
      <c r="T15" s="76"/>
      <c r="U15" s="76"/>
      <c r="V15" s="76"/>
      <c r="W15" s="76"/>
      <c r="X15" s="76"/>
      <c r="Y15" s="76"/>
      <c r="Z15" s="76"/>
      <c r="AA15" s="76"/>
      <c r="AB15" s="76"/>
      <c r="AC15" s="76"/>
      <c r="AD15" s="76"/>
      <c r="AE15" s="76"/>
      <c r="AF15" s="76"/>
      <c r="AG15" s="76"/>
      <c r="AH15" s="76"/>
      <c r="AI15" s="76"/>
      <c r="AJ15" s="76"/>
      <c r="AK15" s="76"/>
      <c r="AL15" s="76"/>
      <c r="AM15" s="76"/>
      <c r="AN15" s="76"/>
      <c r="AO15" s="76"/>
      <c r="AP15" s="76"/>
      <c r="AQ15" s="76"/>
      <c r="AR15" s="76"/>
      <c r="AS15" s="76"/>
      <c r="AT15" s="76"/>
      <c r="AU15" s="76"/>
      <c r="AV15" s="76"/>
      <c r="AW15" s="76"/>
      <c r="AX15" s="76"/>
      <c r="AY15" s="76"/>
      <c r="AZ15" s="76"/>
      <c r="BA15" s="76"/>
      <c r="BB15" s="76"/>
      <c r="BC15" s="76"/>
    </row>
    <row r="16" spans="1:55" ht="12" x14ac:dyDescent="0.2">
      <c r="C16" s="101"/>
      <c r="D16" s="101"/>
    </row>
    <row r="17" spans="3:26" ht="12" x14ac:dyDescent="0.2">
      <c r="C17" s="101" t="s">
        <v>308</v>
      </c>
      <c r="D17" s="101"/>
    </row>
    <row r="18" spans="3:26" ht="12" x14ac:dyDescent="0.2">
      <c r="C18" s="101"/>
      <c r="D18" s="101"/>
      <c r="L18" s="100">
        <v>5</v>
      </c>
      <c r="M18" s="100">
        <v>8</v>
      </c>
      <c r="N18" s="100">
        <v>10</v>
      </c>
      <c r="O18" s="100">
        <v>9</v>
      </c>
      <c r="P18" s="100">
        <v>13</v>
      </c>
      <c r="Q18" s="142"/>
    </row>
    <row r="19" spans="3:26" ht="12" x14ac:dyDescent="0.2">
      <c r="E19" s="43" t="s">
        <v>309</v>
      </c>
      <c r="F19" s="43" t="s">
        <v>310</v>
      </c>
      <c r="G19" s="43" t="s">
        <v>311</v>
      </c>
      <c r="H19" s="43" t="s">
        <v>213</v>
      </c>
      <c r="I19" s="43">
        <f t="array" ref="I19:O19">TRANSPOSE(Years)</f>
        <v>2018</v>
      </c>
      <c r="J19" s="43">
        <v>2019</v>
      </c>
      <c r="K19" s="43">
        <v>2020</v>
      </c>
      <c r="L19" s="43">
        <v>2021</v>
      </c>
      <c r="M19" s="43">
        <v>2022</v>
      </c>
      <c r="N19" s="43">
        <v>2023</v>
      </c>
      <c r="O19" s="43">
        <v>2024</v>
      </c>
      <c r="P19" s="43">
        <v>2025</v>
      </c>
      <c r="Q19" s="134"/>
      <c r="R19" s="43" t="s">
        <v>214</v>
      </c>
      <c r="S19" s="43"/>
      <c r="T19" s="43" t="s">
        <v>215</v>
      </c>
    </row>
    <row r="20" spans="3:26" ht="12" x14ac:dyDescent="0.2">
      <c r="I20" s="143">
        <f t="shared" ref="I20:N20" si="2">SUM(I21:I54)</f>
        <v>0</v>
      </c>
      <c r="J20" s="143">
        <f t="shared" si="2"/>
        <v>0</v>
      </c>
      <c r="K20" s="143">
        <f t="shared" si="2"/>
        <v>0</v>
      </c>
      <c r="L20" s="143">
        <f t="shared" si="2"/>
        <v>0</v>
      </c>
      <c r="M20" s="143">
        <f t="shared" si="2"/>
        <v>0</v>
      </c>
      <c r="N20" s="144">
        <f t="shared" si="2"/>
        <v>0</v>
      </c>
      <c r="O20" s="144">
        <f>SUM(O21:O59)</f>
        <v>0.99999999999999978</v>
      </c>
      <c r="P20" s="144">
        <f>SUM(P21:P59)</f>
        <v>1.0000000000000002</v>
      </c>
      <c r="Q20" s="144"/>
    </row>
    <row r="21" spans="3:26" ht="12" x14ac:dyDescent="0.2">
      <c r="C21" s="145" t="str">
        <f>E21&amp;F21</f>
        <v>Paquete 249Residencial</v>
      </c>
      <c r="D21" s="100">
        <v>1</v>
      </c>
      <c r="E21" s="146" t="str">
        <f t="array" ref="E21:E59">vector.broadband.plans.names</f>
        <v>Paquete 249</v>
      </c>
      <c r="F21" s="147" t="str">
        <f>IFERROR(VLOOKUP($E21,'Planes y paquetes'!$C$391:$G$432,2,FALSE),"")</f>
        <v>Residencial</v>
      </c>
      <c r="G21" s="147" t="str">
        <f>IFERROR(VLOOKUP($E21,'Planes y paquetes'!$C$391:$G$432,3,FALSE),"")</f>
        <v>Telefonía fija + Internet fijo</v>
      </c>
      <c r="H21" s="19" t="s">
        <v>223</v>
      </c>
      <c r="I21" s="148"/>
      <c r="J21" s="148"/>
      <c r="K21" s="148"/>
      <c r="L21" s="148"/>
      <c r="M21" s="148"/>
      <c r="N21" s="148"/>
      <c r="O21" s="149">
        <f>IFERROR(VLOOKUP($E21&amp;$F21,'Planes y paquetes'!$A$482:$M$520,O$18,FALSE),0)/(SUMIFS('Planes y paquetes'!$I$482:$I$520,'Planes y paquetes'!$E$482:$E$520,"Telefonía fija + Internet fijo")+SUMIFS('Planes y paquetes'!$I$482:$I$520,'Planes y paquetes'!$E$482:$E$520,"Internet fijo"))</f>
        <v>1.4785727108861136E-2</v>
      </c>
      <c r="P21" s="149">
        <f>IFERROR(VLOOKUP($E21&amp;$F21,'Planes y paquetes'!$A$482:$M$520,P$18,FALSE),0)/(SUMIFS('Planes y paquetes'!$M$482:$M$520,'Planes y paquetes'!$E$482:$E$520,"Telefonía fija + Internet fijo")+SUMIFS('Planes y paquetes'!$M$482:$M$520,'Planes y paquetes'!$E$482:$E$520,"Internet fijo"))</f>
        <v>1.8212855509195738E-2</v>
      </c>
      <c r="Q21" s="150"/>
      <c r="T21" s="101" t="s">
        <v>312</v>
      </c>
      <c r="Y21" s="151"/>
      <c r="Z21" s="152"/>
    </row>
    <row r="22" spans="3:26" ht="12" x14ac:dyDescent="0.2">
      <c r="C22" s="145" t="str">
        <f t="shared" ref="C22:C59" si="3">E22&amp;F22</f>
        <v>Paquete 289Residencial</v>
      </c>
      <c r="D22" s="93">
        <f>1+D21</f>
        <v>2</v>
      </c>
      <c r="E22" s="146" t="str">
        <v>Paquete 289</v>
      </c>
      <c r="F22" s="147" t="str">
        <f>IFERROR(VLOOKUP($E22,'Planes y paquetes'!$C$391:$G$432,2,FALSE),"")</f>
        <v>Residencial</v>
      </c>
      <c r="G22" s="147" t="str">
        <f>IFERROR(VLOOKUP($E22,'Planes y paquetes'!$C$391:$G$432,3,FALSE),"")</f>
        <v>Telefonía fija + Internet fijo</v>
      </c>
      <c r="H22" s="19" t="s">
        <v>223</v>
      </c>
      <c r="I22" s="148"/>
      <c r="J22" s="148"/>
      <c r="K22" s="148"/>
      <c r="L22" s="148"/>
      <c r="M22" s="148"/>
      <c r="N22" s="148"/>
      <c r="O22" s="149">
        <f>IFERROR(VLOOKUP($E22&amp;$F22,'Planes y paquetes'!$A$482:$M$520,O$18,FALSE),0)/(SUMIFS('Planes y paquetes'!$I$482:$I$520,'Planes y paquetes'!$E$482:$E$520,"Telefonía fija + Internet fijo")+SUMIFS('Planes y paquetes'!$I$482:$I$520,'Planes y paquetes'!$E$482:$E$520,"Internet fijo"))</f>
        <v>4.3680322639838313E-3</v>
      </c>
      <c r="P22" s="149">
        <f>IFERROR(VLOOKUP($E22&amp;$F22,'Planes y paquetes'!$A$482:$M$520,P$18,FALSE),0)/(SUMIFS('Planes y paquetes'!$M$482:$M$520,'Planes y paquetes'!$E$482:$E$520,"Telefonía fija + Internet fijo")+SUMIFS('Planes y paquetes'!$M$482:$M$520,'Planes y paquetes'!$E$482:$E$520,"Internet fijo"))</f>
        <v>4.4578413349053853E-3</v>
      </c>
      <c r="Q22" s="150"/>
      <c r="T22" s="101" t="s">
        <v>312</v>
      </c>
      <c r="Y22" s="151"/>
      <c r="Z22" s="152"/>
    </row>
    <row r="23" spans="3:26" ht="12" x14ac:dyDescent="0.2">
      <c r="C23" s="145" t="str">
        <f t="shared" si="3"/>
        <v>Paquete 333Residencial</v>
      </c>
      <c r="D23" s="93">
        <f t="shared" ref="D23:D59" si="4">1+D22</f>
        <v>3</v>
      </c>
      <c r="E23" s="146" t="str">
        <v>Paquete 333</v>
      </c>
      <c r="F23" s="147" t="str">
        <f>IFERROR(VLOOKUP($E23,'Planes y paquetes'!$C$391:$G$432,2,FALSE),"")</f>
        <v>Residencial</v>
      </c>
      <c r="G23" s="147" t="str">
        <f>IFERROR(VLOOKUP($E23,'Planes y paquetes'!$C$391:$G$432,3,FALSE),"")</f>
        <v>Telefonía fija + Internet fijo</v>
      </c>
      <c r="H23" s="19" t="s">
        <v>223</v>
      </c>
      <c r="I23" s="148"/>
      <c r="J23" s="148"/>
      <c r="K23" s="148"/>
      <c r="L23" s="148"/>
      <c r="M23" s="148"/>
      <c r="N23" s="148"/>
      <c r="O23" s="149">
        <f>IFERROR(VLOOKUP($E23&amp;$F23,'Planes y paquetes'!$A$482:$M$520,O$18,FALSE),0)/(SUMIFS('Planes y paquetes'!$I$482:$I$520,'Planes y paquetes'!$E$482:$E$520,"Telefonía fija + Internet fijo")+SUMIFS('Planes y paquetes'!$I$482:$I$520,'Planes y paquetes'!$E$482:$E$520,"Internet fijo"))</f>
        <v>6.340892333925343E-3</v>
      </c>
      <c r="P23" s="149">
        <f>IFERROR(VLOOKUP($E23&amp;$F23,'Planes y paquetes'!$A$482:$M$520,P$18,FALSE),0)/(SUMIFS('Planes y paquetes'!$M$482:$M$520,'Planes y paquetes'!$E$482:$E$520,"Telefonía fija + Internet fijo")+SUMIFS('Planes y paquetes'!$M$482:$M$520,'Planes y paquetes'!$E$482:$E$520,"Internet fijo"))</f>
        <v>6.0188654479056778E-3</v>
      </c>
      <c r="Q23" s="150"/>
      <c r="T23" s="101" t="s">
        <v>312</v>
      </c>
      <c r="Y23" s="151"/>
      <c r="Z23" s="152"/>
    </row>
    <row r="24" spans="3:26" ht="12" x14ac:dyDescent="0.2">
      <c r="C24" s="145" t="str">
        <f t="shared" si="3"/>
        <v>Paquete 389Residencial</v>
      </c>
      <c r="D24" s="93">
        <f t="shared" si="4"/>
        <v>4</v>
      </c>
      <c r="E24" s="146" t="str">
        <v>Paquete 389</v>
      </c>
      <c r="F24" s="147" t="str">
        <f>IFERROR(VLOOKUP($E24,'Planes y paquetes'!$C$391:$G$432,2,FALSE),"")</f>
        <v>Residencial</v>
      </c>
      <c r="G24" s="147" t="str">
        <f>IFERROR(VLOOKUP($E24,'Planes y paquetes'!$C$391:$G$432,3,FALSE),"")</f>
        <v>Telefonía fija + Internet fijo</v>
      </c>
      <c r="H24" s="19" t="s">
        <v>223</v>
      </c>
      <c r="I24" s="148"/>
      <c r="J24" s="148"/>
      <c r="K24" s="148"/>
      <c r="L24" s="148"/>
      <c r="M24" s="148"/>
      <c r="N24" s="148"/>
      <c r="O24" s="149">
        <f>IFERROR(VLOOKUP($E24&amp;$F24,'Planes y paquetes'!$A$482:$M$520,O$18,FALSE),0)/(SUMIFS('Planes y paquetes'!$I$482:$I$520,'Planes y paquetes'!$E$482:$E$520,"Telefonía fija + Internet fijo")+SUMIFS('Planes y paquetes'!$I$482:$I$520,'Planes y paquetes'!$E$482:$E$520,"Internet fijo"))</f>
        <v>0.47359472742484998</v>
      </c>
      <c r="P24" s="149">
        <f>IFERROR(VLOOKUP($E24&amp;$F24,'Planes y paquetes'!$A$482:$M$520,P$18,FALSE),0)/(SUMIFS('Planes y paquetes'!$M$482:$M$520,'Planes y paquetes'!$E$482:$E$520,"Telefonía fija + Internet fijo")+SUMIFS('Planes y paquetes'!$M$482:$M$520,'Planes y paquetes'!$E$482:$E$520,"Internet fijo"))</f>
        <v>0.44509507512196506</v>
      </c>
      <c r="Q24" s="150"/>
      <c r="T24" s="101" t="s">
        <v>312</v>
      </c>
      <c r="Y24" s="151"/>
      <c r="Z24" s="152"/>
    </row>
    <row r="25" spans="3:26" ht="12" x14ac:dyDescent="0.2">
      <c r="C25" s="145" t="str">
        <f t="shared" si="3"/>
        <v>Paquete 435Residencial</v>
      </c>
      <c r="D25" s="93">
        <f t="shared" si="4"/>
        <v>5</v>
      </c>
      <c r="E25" s="146" t="str">
        <v>Paquete 435</v>
      </c>
      <c r="F25" s="147" t="str">
        <f>IFERROR(VLOOKUP($E25,'Planes y paquetes'!$C$391:$G$432,2,FALSE),"")</f>
        <v>Residencial</v>
      </c>
      <c r="G25" s="147" t="str">
        <f>IFERROR(VLOOKUP($E25,'Planes y paquetes'!$C$391:$G$432,3,FALSE),"")</f>
        <v>Telefonía fija + Internet fijo</v>
      </c>
      <c r="H25" s="19" t="s">
        <v>223</v>
      </c>
      <c r="I25" s="148"/>
      <c r="J25" s="148"/>
      <c r="K25" s="148"/>
      <c r="L25" s="148"/>
      <c r="M25" s="148"/>
      <c r="N25" s="148"/>
      <c r="O25" s="149">
        <f>IFERROR(VLOOKUP($E25&amp;$F25,'Planes y paquetes'!$A$482:$M$520,O$18,FALSE),0)/(SUMIFS('Planes y paquetes'!$I$482:$I$520,'Planes y paquetes'!$E$482:$E$520,"Telefonía fija + Internet fijo")+SUMIFS('Planes y paquetes'!$I$482:$I$520,'Planes y paquetes'!$E$482:$E$520,"Internet fijo"))</f>
        <v>1.8604670805215075E-2</v>
      </c>
      <c r="P25" s="149">
        <f>IFERROR(VLOOKUP($E25&amp;$F25,'Planes y paquetes'!$A$482:$M$520,P$18,FALSE),0)/(SUMIFS('Planes y paquetes'!$M$482:$M$520,'Planes y paquetes'!$E$482:$E$520,"Telefonía fija + Internet fijo")+SUMIFS('Planes y paquetes'!$M$482:$M$520,'Planes y paquetes'!$E$482:$E$520,"Internet fijo"))</f>
        <v>2.4192037399236969E-2</v>
      </c>
      <c r="Q25" s="150"/>
      <c r="T25" s="101" t="s">
        <v>312</v>
      </c>
      <c r="Y25" s="151"/>
      <c r="Z25" s="152"/>
    </row>
    <row r="26" spans="3:26" ht="12" x14ac:dyDescent="0.2">
      <c r="C26" s="145" t="str">
        <f t="shared" si="3"/>
        <v>Paquete 499Residencial</v>
      </c>
      <c r="D26" s="93">
        <f t="shared" si="4"/>
        <v>6</v>
      </c>
      <c r="E26" s="146" t="str">
        <v>Paquete 499</v>
      </c>
      <c r="F26" s="147" t="str">
        <f>IFERROR(VLOOKUP($E26,'Planes y paquetes'!$C$391:$G$432,2,FALSE),"")</f>
        <v>Residencial</v>
      </c>
      <c r="G26" s="147" t="str">
        <f>IFERROR(VLOOKUP($E26,'Planes y paquetes'!$C$391:$G$432,3,FALSE),"")</f>
        <v>Telefonía fija + Internet fijo</v>
      </c>
      <c r="H26" s="19" t="s">
        <v>223</v>
      </c>
      <c r="I26" s="148"/>
      <c r="J26" s="148"/>
      <c r="K26" s="148"/>
      <c r="L26" s="148"/>
      <c r="M26" s="148"/>
      <c r="N26" s="148"/>
      <c r="O26" s="149">
        <f>IFERROR(VLOOKUP($E26&amp;$F26,'Planes y paquetes'!$A$482:$M$520,O$18,FALSE),0)/(SUMIFS('Planes y paquetes'!$I$482:$I$520,'Planes y paquetes'!$E$482:$E$520,"Telefonía fija + Internet fijo")+SUMIFS('Planes y paquetes'!$I$482:$I$520,'Planes y paquetes'!$E$482:$E$520,"Internet fijo"))</f>
        <v>3.8760137975167384E-2</v>
      </c>
      <c r="P26" s="149">
        <f>IFERROR(VLOOKUP($E26&amp;$F26,'Planes y paquetes'!$A$482:$M$520,P$18,FALSE),0)/(SUMIFS('Planes y paquetes'!$M$482:$M$520,'Planes y paquetes'!$E$482:$E$520,"Telefonía fija + Internet fijo")+SUMIFS('Planes y paquetes'!$M$482:$M$520,'Planes y paquetes'!$E$482:$E$520,"Internet fijo"))</f>
        <v>3.6543111647998755E-2</v>
      </c>
      <c r="Q26" s="150"/>
      <c r="T26" s="101" t="s">
        <v>312</v>
      </c>
      <c r="Y26" s="151"/>
      <c r="Z26" s="152"/>
    </row>
    <row r="27" spans="3:26" ht="12" x14ac:dyDescent="0.2">
      <c r="C27" s="145" t="str">
        <f t="shared" si="3"/>
        <v>Paquete 599Residencial</v>
      </c>
      <c r="D27" s="93">
        <f t="shared" si="4"/>
        <v>7</v>
      </c>
      <c r="E27" s="146" t="str">
        <v>Paquete 599</v>
      </c>
      <c r="F27" s="147" t="str">
        <f>IFERROR(VLOOKUP($E27,'Planes y paquetes'!$C$391:$G$432,2,FALSE),"")</f>
        <v>Residencial</v>
      </c>
      <c r="G27" s="147" t="str">
        <f>IFERROR(VLOOKUP($E27,'Planes y paquetes'!$C$391:$G$432,3,FALSE),"")</f>
        <v>Telefonía fija + Internet fijo</v>
      </c>
      <c r="H27" s="19" t="s">
        <v>223</v>
      </c>
      <c r="I27" s="148"/>
      <c r="J27" s="148"/>
      <c r="K27" s="148"/>
      <c r="L27" s="148"/>
      <c r="M27" s="148"/>
      <c r="N27" s="148"/>
      <c r="O27" s="149">
        <f>IFERROR(VLOOKUP($E27&amp;$F27,'Planes y paquetes'!$A$482:$M$520,O$18,FALSE),0)/(SUMIFS('Planes y paquetes'!$I$482:$I$520,'Planes y paquetes'!$E$482:$E$520,"Telefonía fija + Internet fijo")+SUMIFS('Planes y paquetes'!$I$482:$I$520,'Planes y paquetes'!$E$482:$E$520,"Internet fijo"))</f>
        <v>3.7621137334577857E-2</v>
      </c>
      <c r="P27" s="149">
        <f>IFERROR(VLOOKUP($E27&amp;$F27,'Planes y paquetes'!$A$482:$M$520,P$18,FALSE),0)/(SUMIFS('Planes y paquetes'!$M$482:$M$520,'Planes y paquetes'!$E$482:$E$520,"Telefonía fija + Internet fijo")+SUMIFS('Planes y paquetes'!$M$482:$M$520,'Planes y paquetes'!$E$482:$E$520,"Internet fijo"))</f>
        <v>2.8197024162171604E-2</v>
      </c>
      <c r="Q27" s="150"/>
      <c r="T27" s="101" t="s">
        <v>312</v>
      </c>
      <c r="Y27" s="151"/>
      <c r="Z27" s="152"/>
    </row>
    <row r="28" spans="3:26" ht="12" x14ac:dyDescent="0.2">
      <c r="C28" s="145" t="str">
        <f t="shared" si="3"/>
        <v>Paquete 649Residencial</v>
      </c>
      <c r="D28" s="93">
        <f t="shared" si="4"/>
        <v>8</v>
      </c>
      <c r="E28" s="146" t="str">
        <v>Paquete 649</v>
      </c>
      <c r="F28" s="147" t="str">
        <f>IFERROR(VLOOKUP($E28,'Planes y paquetes'!$C$391:$G$432,2,FALSE),"")</f>
        <v>Residencial</v>
      </c>
      <c r="G28" s="147" t="str">
        <f>IFERROR(VLOOKUP($E28,'Planes y paquetes'!$C$391:$G$432,3,FALSE),"")</f>
        <v>Telefonía fija + Internet fijo</v>
      </c>
      <c r="H28" s="19" t="s">
        <v>223</v>
      </c>
      <c r="I28" s="148"/>
      <c r="J28" s="148"/>
      <c r="K28" s="148"/>
      <c r="L28" s="148"/>
      <c r="M28" s="148"/>
      <c r="N28" s="148"/>
      <c r="O28" s="149">
        <f>IFERROR(VLOOKUP($E28&amp;$F28,'Planes y paquetes'!$A$482:$M$520,O$18,FALSE),0)/(SUMIFS('Planes y paquetes'!$I$482:$I$520,'Planes y paquetes'!$E$482:$E$520,"Telefonía fija + Internet fijo")+SUMIFS('Planes y paquetes'!$I$482:$I$520,'Planes y paquetes'!$E$482:$E$520,"Internet fijo"))</f>
        <v>1.7240023000277566E-2</v>
      </c>
      <c r="P28" s="149">
        <f>IFERROR(VLOOKUP($E28&amp;$F28,'Planes y paquetes'!$A$482:$M$520,P$18,FALSE),0)/(SUMIFS('Planes y paquetes'!$M$482:$M$520,'Planes y paquetes'!$E$482:$E$520,"Telefonía fija + Internet fijo")+SUMIFS('Planes y paquetes'!$M$482:$M$520,'Planes y paquetes'!$E$482:$E$520,"Internet fijo"))</f>
        <v>2.1652042189314661E-2</v>
      </c>
      <c r="Q28" s="150"/>
      <c r="T28" s="101" t="s">
        <v>312</v>
      </c>
      <c r="Y28" s="151"/>
      <c r="Z28" s="152"/>
    </row>
    <row r="29" spans="3:26" ht="12" x14ac:dyDescent="0.2">
      <c r="C29" s="145" t="str">
        <f t="shared" si="3"/>
        <v>Paquetre 725Residencial</v>
      </c>
      <c r="D29" s="93">
        <f t="shared" si="4"/>
        <v>9</v>
      </c>
      <c r="E29" s="146" t="str">
        <v>Paquetre 725</v>
      </c>
      <c r="F29" s="147" t="str">
        <f>IFERROR(VLOOKUP($E29,'Planes y paquetes'!$C$391:$G$432,2,FALSE),"")</f>
        <v>Residencial</v>
      </c>
      <c r="G29" s="147" t="str">
        <f>IFERROR(VLOOKUP($E29,'Planes y paquetes'!$C$391:$G$432,3,FALSE),"")</f>
        <v>Telefonía fija + Internet fijo</v>
      </c>
      <c r="H29" s="19" t="s">
        <v>223</v>
      </c>
      <c r="I29" s="148"/>
      <c r="J29" s="148"/>
      <c r="K29" s="148"/>
      <c r="L29" s="148"/>
      <c r="M29" s="148"/>
      <c r="N29" s="148"/>
      <c r="O29" s="149">
        <f>IFERROR(VLOOKUP($E29&amp;$F29,'Planes y paquetes'!$A$482:$M$520,O$18,FALSE),0)/(SUMIFS('Planes y paquetes'!$I$482:$I$520,'Planes y paquetes'!$E$482:$E$520,"Telefonía fija + Internet fijo")+SUMIFS('Planes y paquetes'!$I$482:$I$520,'Planes y paquetes'!$E$482:$E$520,"Internet fijo"))</f>
        <v>7.861630012182463E-4</v>
      </c>
      <c r="P29" s="149">
        <f>IFERROR(VLOOKUP($E29&amp;$F29,'Planes y paquetes'!$A$482:$M$520,P$18,FALSE),0)/(SUMIFS('Planes y paquetes'!$M$482:$M$520,'Planes y paquetes'!$E$482:$E$520,"Telefonía fija + Internet fijo")+SUMIFS('Planes y paquetes'!$M$482:$M$520,'Planes y paquetes'!$E$482:$E$520,"Internet fijo"))</f>
        <v>2.1632901679076509E-3</v>
      </c>
      <c r="Q29" s="150"/>
      <c r="T29" s="101" t="s">
        <v>312</v>
      </c>
      <c r="Y29" s="151"/>
      <c r="Z29" s="152"/>
    </row>
    <row r="30" spans="3:26" ht="12" x14ac:dyDescent="0.2">
      <c r="C30" s="145" t="str">
        <f t="shared" si="3"/>
        <v>Paquete Infinitum 999Residencial</v>
      </c>
      <c r="D30" s="93">
        <f t="shared" si="4"/>
        <v>10</v>
      </c>
      <c r="E30" s="146" t="str">
        <v>Paquete Infinitum 999</v>
      </c>
      <c r="F30" s="147" t="str">
        <f>IFERROR(VLOOKUP($E30,'Planes y paquetes'!$C$391:$G$432,2,FALSE),"")</f>
        <v>Residencial</v>
      </c>
      <c r="G30" s="147" t="str">
        <f>IFERROR(VLOOKUP($E30,'Planes y paquetes'!$C$391:$G$432,3,FALSE),"")</f>
        <v>Telefonía fija + Internet fijo</v>
      </c>
      <c r="H30" s="19" t="s">
        <v>223</v>
      </c>
      <c r="I30" s="148"/>
      <c r="J30" s="148"/>
      <c r="K30" s="148"/>
      <c r="L30" s="148"/>
      <c r="M30" s="148"/>
      <c r="N30" s="148"/>
      <c r="O30" s="149">
        <f>IFERROR(VLOOKUP($E30&amp;$F30,'Planes y paquetes'!$A$482:$M$520,O$18,FALSE),0)/(SUMIFS('Planes y paquetes'!$I$482:$I$520,'Planes y paquetes'!$E$482:$E$520,"Telefonía fija + Internet fijo")+SUMIFS('Planes y paquetes'!$I$482:$I$520,'Planes y paquetes'!$E$482:$E$520,"Internet fijo"))</f>
        <v>4.807568098244043E-3</v>
      </c>
      <c r="P30" s="149">
        <f>IFERROR(VLOOKUP($E30&amp;$F30,'Planes y paquetes'!$A$482:$M$520,P$18,FALSE),0)/(SUMIFS('Planes y paquetes'!$M$482:$M$520,'Planes y paquetes'!$E$482:$E$520,"Telefonía fija + Internet fijo")+SUMIFS('Planes y paquetes'!$M$482:$M$520,'Planes y paquetes'!$E$482:$E$520,"Internet fijo"))</f>
        <v>5.2263493214070355E-3</v>
      </c>
      <c r="Q30" s="150"/>
      <c r="T30" s="101" t="s">
        <v>312</v>
      </c>
      <c r="Y30" s="151"/>
      <c r="Z30" s="152"/>
    </row>
    <row r="31" spans="3:26" ht="12" x14ac:dyDescent="0.2">
      <c r="C31" s="145" t="str">
        <f t="shared" si="3"/>
        <v>Paquete 1399Residencial</v>
      </c>
      <c r="D31" s="93">
        <f t="shared" si="4"/>
        <v>11</v>
      </c>
      <c r="E31" s="146" t="str">
        <v>Paquete 1399</v>
      </c>
      <c r="F31" s="147" t="str">
        <f>IFERROR(VLOOKUP($E31,'Planes y paquetes'!$C$391:$G$432,2,FALSE),"")</f>
        <v>Residencial</v>
      </c>
      <c r="G31" s="147" t="str">
        <f>IFERROR(VLOOKUP($E31,'Planes y paquetes'!$C$391:$G$432,3,FALSE),"")</f>
        <v>Telefonía fija + Internet fijo</v>
      </c>
      <c r="H31" s="19" t="s">
        <v>223</v>
      </c>
      <c r="I31" s="148"/>
      <c r="J31" s="148"/>
      <c r="K31" s="148"/>
      <c r="L31" s="148"/>
      <c r="M31" s="148"/>
      <c r="N31" s="148"/>
      <c r="O31" s="149">
        <f>IFERROR(VLOOKUP($E31&amp;$F31,'Planes y paquetes'!$A$482:$M$520,O$18,FALSE),0)/(SUMIFS('Planes y paquetes'!$I$482:$I$520,'Planes y paquetes'!$E$482:$E$520,"Telefonía fija + Internet fijo")+SUMIFS('Planes y paquetes'!$I$482:$I$520,'Planes y paquetes'!$E$482:$E$520,"Internet fijo"))</f>
        <v>1.5540258103921242E-3</v>
      </c>
      <c r="P31" s="149">
        <f>IFERROR(VLOOKUP($E31&amp;$F31,'Planes y paquetes'!$A$482:$M$520,P$18,FALSE),0)/(SUMIFS('Planes y paquetes'!$M$482:$M$520,'Planes y paquetes'!$E$482:$E$520,"Telefonía fija + Internet fijo")+SUMIFS('Planes y paquetes'!$M$482:$M$520,'Planes y paquetes'!$E$482:$E$520,"Internet fijo"))</f>
        <v>1.4324856864871875E-3</v>
      </c>
      <c r="Q31" s="150"/>
      <c r="T31" s="101" t="s">
        <v>312</v>
      </c>
      <c r="Y31" s="151"/>
      <c r="Z31" s="152"/>
    </row>
    <row r="32" spans="3:26" ht="12" x14ac:dyDescent="0.2">
      <c r="C32" s="145" t="str">
        <f t="shared" si="3"/>
        <v>Infinitum 279Residencial</v>
      </c>
      <c r="D32" s="93">
        <f t="shared" si="4"/>
        <v>12</v>
      </c>
      <c r="E32" s="146" t="str">
        <v>Infinitum 279</v>
      </c>
      <c r="F32" s="147" t="str">
        <f>IFERROR(VLOOKUP($E32,'Planes y paquetes'!$C$391:$G$432,2,FALSE),"")</f>
        <v>Residencial</v>
      </c>
      <c r="G32" s="147" t="str">
        <f>IFERROR(VLOOKUP($E32,'Planes y paquetes'!$C$391:$G$432,3,FALSE),"")</f>
        <v>Internet fijo</v>
      </c>
      <c r="H32" s="19" t="s">
        <v>223</v>
      </c>
      <c r="I32" s="148"/>
      <c r="J32" s="148"/>
      <c r="K32" s="148"/>
      <c r="L32" s="148"/>
      <c r="M32" s="148"/>
      <c r="N32" s="148"/>
      <c r="O32" s="149">
        <f>IFERROR(VLOOKUP($E32&amp;$F32,'Planes y paquetes'!$A$482:$M$520,O$18,FALSE),0)/(SUMIFS('Planes y paquetes'!$I$482:$I$520,'Planes y paquetes'!$E$482:$E$520,"Telefonía fija + Internet fijo")+SUMIFS('Planes y paquetes'!$I$482:$I$520,'Planes y paquetes'!$E$482:$E$520,"Internet fijo"))</f>
        <v>1.9632545392756899E-3</v>
      </c>
      <c r="P32" s="149">
        <f>IFERROR(VLOOKUP($E32&amp;$F32,'Planes y paquetes'!$A$482:$M$520,P$18,FALSE),0)/(SUMIFS('Planes y paquetes'!$M$482:$M$520,'Planes y paquetes'!$E$482:$E$520,"Telefonía fija + Internet fijo")+SUMIFS('Planes y paquetes'!$M$482:$M$520,'Planes y paquetes'!$E$482:$E$520,"Internet fijo"))</f>
        <v>1.424070462158345E-3</v>
      </c>
      <c r="Q32" s="150"/>
      <c r="T32" s="101" t="s">
        <v>312</v>
      </c>
      <c r="Y32" s="151"/>
      <c r="Z32" s="152"/>
    </row>
    <row r="33" spans="3:26" ht="12" x14ac:dyDescent="0.2">
      <c r="C33" s="145" t="str">
        <f t="shared" si="3"/>
        <v>Infinitum 299 RResidencial</v>
      </c>
      <c r="D33" s="93">
        <f t="shared" si="4"/>
        <v>13</v>
      </c>
      <c r="E33" s="146" t="str">
        <v>Infinitum 299 R</v>
      </c>
      <c r="F33" s="147" t="str">
        <f>IFERROR(VLOOKUP($E33,'Planes y paquetes'!$C$391:$G$432,2,FALSE),"")</f>
        <v>Residencial</v>
      </c>
      <c r="G33" s="147" t="str">
        <f>IFERROR(VLOOKUP($E33,'Planes y paquetes'!$C$391:$G$432,3,FALSE),"")</f>
        <v>Internet fijo</v>
      </c>
      <c r="H33" s="19" t="s">
        <v>223</v>
      </c>
      <c r="I33" s="148"/>
      <c r="J33" s="148"/>
      <c r="K33" s="148"/>
      <c r="L33" s="148"/>
      <c r="M33" s="148"/>
      <c r="N33" s="148"/>
      <c r="O33" s="149">
        <f>IFERROR(VLOOKUP($E33&amp;$F33,'Planes y paquetes'!$A$482:$M$520,O$18,FALSE),0)/(SUMIFS('Planes y paquetes'!$I$482:$I$520,'Planes y paquetes'!$E$482:$E$520,"Telefonía fija + Internet fijo")+SUMIFS('Planes y paquetes'!$I$482:$I$520,'Planes y paquetes'!$E$482:$E$520,"Internet fijo"))</f>
        <v>8.7774676773893088E-6</v>
      </c>
      <c r="P33" s="149">
        <f>IFERROR(VLOOKUP($E33&amp;$F33,'Planes y paquetes'!$A$482:$M$520,P$18,FALSE),0)/(SUMIFS('Planes y paquetes'!$M$482:$M$520,'Planes y paquetes'!$E$482:$E$520,"Telefonía fija + Internet fijo")+SUMIFS('Planes y paquetes'!$M$482:$M$520,'Planes y paquetes'!$E$482:$E$520,"Internet fijo"))</f>
        <v>1.336535628698522E-5</v>
      </c>
      <c r="Q33" s="150"/>
      <c r="T33" s="101" t="s">
        <v>312</v>
      </c>
      <c r="Y33" s="151"/>
      <c r="Z33" s="152"/>
    </row>
    <row r="34" spans="3:26" ht="12" x14ac:dyDescent="0.2">
      <c r="C34" s="145" t="str">
        <f t="shared" si="3"/>
        <v>Infinitum 349Residencial</v>
      </c>
      <c r="D34" s="93">
        <f t="shared" si="4"/>
        <v>14</v>
      </c>
      <c r="E34" s="146" t="str">
        <v>Infinitum 349</v>
      </c>
      <c r="F34" s="147" t="str">
        <f>IFERROR(VLOOKUP($E34,'Planes y paquetes'!$C$391:$G$432,2,FALSE),"")</f>
        <v>Residencial</v>
      </c>
      <c r="G34" s="147" t="str">
        <f>IFERROR(VLOOKUP($E34,'Planes y paquetes'!$C$391:$G$432,3,FALSE),"")</f>
        <v>Internet fijo</v>
      </c>
      <c r="H34" s="19" t="s">
        <v>223</v>
      </c>
      <c r="I34" s="148"/>
      <c r="J34" s="148"/>
      <c r="K34" s="148"/>
      <c r="L34" s="148"/>
      <c r="M34" s="148"/>
      <c r="N34" s="148"/>
      <c r="O34" s="149">
        <f>IFERROR(VLOOKUP($E34&amp;$F34,'Planes y paquetes'!$A$482:$M$520,O$18,FALSE),0)/(SUMIFS('Planes y paquetes'!$I$482:$I$520,'Planes y paquetes'!$E$482:$E$520,"Telefonía fija + Internet fijo")+SUMIFS('Planes y paquetes'!$I$482:$I$520,'Planes y paquetes'!$E$482:$E$520,"Internet fijo"))</f>
        <v>0.18597640550443278</v>
      </c>
      <c r="P34" s="149">
        <f>IFERROR(VLOOKUP($E34&amp;$F34,'Planes y paquetes'!$A$482:$M$520,P$18,FALSE),0)/(SUMIFS('Planes y paquetes'!$M$482:$M$520,'Planes y paquetes'!$E$482:$E$520,"Telefonía fija + Internet fijo")+SUMIFS('Planes y paquetes'!$M$482:$M$520,'Planes y paquetes'!$E$482:$E$520,"Internet fijo"))</f>
        <v>0.21545218341657943</v>
      </c>
      <c r="Q34" s="150"/>
      <c r="T34" s="101" t="s">
        <v>312</v>
      </c>
      <c r="Y34" s="151"/>
      <c r="Z34" s="152"/>
    </row>
    <row r="35" spans="3:26" ht="12" x14ac:dyDescent="0.2">
      <c r="C35" s="145" t="str">
        <f t="shared" si="3"/>
        <v>Infinitum 399Residencial</v>
      </c>
      <c r="D35" s="93">
        <f t="shared" si="4"/>
        <v>15</v>
      </c>
      <c r="E35" s="146" t="str">
        <v>Infinitum 399</v>
      </c>
      <c r="F35" s="147" t="str">
        <f>IFERROR(VLOOKUP($E35,'Planes y paquetes'!$C$391:$G$432,2,FALSE),"")</f>
        <v>Residencial</v>
      </c>
      <c r="G35" s="147" t="str">
        <f>IFERROR(VLOOKUP($E35,'Planes y paquetes'!$C$391:$G$432,3,FALSE),"")</f>
        <v>Internet fijo</v>
      </c>
      <c r="H35" s="19" t="s">
        <v>223</v>
      </c>
      <c r="I35" s="148"/>
      <c r="J35" s="148"/>
      <c r="K35" s="148"/>
      <c r="L35" s="148"/>
      <c r="M35" s="148"/>
      <c r="N35" s="148"/>
      <c r="O35" s="149">
        <f>IFERROR(VLOOKUP($E35&amp;$F35,'Planes y paquetes'!$A$482:$M$520,O$18,FALSE),0)/(SUMIFS('Planes y paquetes'!$I$482:$I$520,'Planes y paquetes'!$E$482:$E$520,"Telefonía fija + Internet fijo")+SUMIFS('Planes y paquetes'!$I$482:$I$520,'Planes y paquetes'!$E$482:$E$520,"Internet fijo"))</f>
        <v>1.3395574963879893E-2</v>
      </c>
      <c r="P35" s="149">
        <f>IFERROR(VLOOKUP($E35&amp;$F35,'Planes y paquetes'!$A$482:$M$520,P$18,FALSE),0)/(SUMIFS('Planes y paquetes'!$M$482:$M$520,'Planes y paquetes'!$E$482:$E$520,"Telefonía fija + Internet fijo")+SUMIFS('Planes y paquetes'!$M$482:$M$520,'Planes y paquetes'!$E$482:$E$520,"Internet fijo"))</f>
        <v>1.9516802769169818E-2</v>
      </c>
      <c r="Q35" s="150"/>
      <c r="T35" s="101" t="s">
        <v>312</v>
      </c>
      <c r="Y35" s="151"/>
      <c r="Z35" s="152"/>
    </row>
    <row r="36" spans="3:26" ht="12" x14ac:dyDescent="0.2">
      <c r="C36" s="145" t="str">
        <f t="shared" si="3"/>
        <v>Infinitum 449Residencial</v>
      </c>
      <c r="D36" s="93">
        <f t="shared" si="4"/>
        <v>16</v>
      </c>
      <c r="E36" s="146" t="str">
        <v>Infinitum 449</v>
      </c>
      <c r="F36" s="147" t="str">
        <f>IFERROR(VLOOKUP($E36,'Planes y paquetes'!$C$391:$G$432,2,FALSE),"")</f>
        <v>Residencial</v>
      </c>
      <c r="G36" s="147" t="str">
        <f>IFERROR(VLOOKUP($E36,'Planes y paquetes'!$C$391:$G$432,3,FALSE),"")</f>
        <v>Internet fijo</v>
      </c>
      <c r="H36" s="19" t="s">
        <v>223</v>
      </c>
      <c r="I36" s="148"/>
      <c r="J36" s="148"/>
      <c r="K36" s="148"/>
      <c r="L36" s="148"/>
      <c r="M36" s="148"/>
      <c r="N36" s="148"/>
      <c r="O36" s="149">
        <f>IFERROR(VLOOKUP($E36&amp;$F36,'Planes y paquetes'!$A$482:$M$520,O$18,FALSE),0)/(SUMIFS('Planes y paquetes'!$I$482:$I$520,'Planes y paquetes'!$E$482:$E$520,"Telefonía fija + Internet fijo")+SUMIFS('Planes y paquetes'!$I$482:$I$520,'Planes y paquetes'!$E$482:$E$520,"Internet fijo"))</f>
        <v>1.9483411248540125E-2</v>
      </c>
      <c r="P36" s="149">
        <f>IFERROR(VLOOKUP($E36&amp;$F36,'Planes y paquetes'!$A$482:$M$520,P$18,FALSE),0)/(SUMIFS('Planes y paquetes'!$M$482:$M$520,'Planes y paquetes'!$E$482:$E$520,"Telefonía fija + Internet fijo")+SUMIFS('Planes y paquetes'!$M$482:$M$520,'Planes y paquetes'!$E$482:$E$520,"Internet fijo"))</f>
        <v>1.7890849425318555E-2</v>
      </c>
      <c r="Q36" s="150"/>
      <c r="T36" s="101" t="s">
        <v>312</v>
      </c>
      <c r="Y36" s="151"/>
      <c r="Z36" s="152"/>
    </row>
    <row r="37" spans="3:26" ht="12" x14ac:dyDescent="0.2">
      <c r="C37" s="145" t="str">
        <f t="shared" si="3"/>
        <v>Infinitum 499Residencial</v>
      </c>
      <c r="D37" s="93">
        <f t="shared" si="4"/>
        <v>17</v>
      </c>
      <c r="E37" s="146" t="str">
        <v>Infinitum 499</v>
      </c>
      <c r="F37" s="147" t="str">
        <f>IFERROR(VLOOKUP($E37,'Planes y paquetes'!$C$391:$G$432,2,FALSE),"")</f>
        <v>Residencial</v>
      </c>
      <c r="G37" s="147" t="str">
        <f>IFERROR(VLOOKUP($E37,'Planes y paquetes'!$C$391:$G$432,3,FALSE),"")</f>
        <v>Internet fijo</v>
      </c>
      <c r="H37" s="19" t="s">
        <v>223</v>
      </c>
      <c r="I37" s="148"/>
      <c r="J37" s="148"/>
      <c r="K37" s="148"/>
      <c r="L37" s="148"/>
      <c r="M37" s="148"/>
      <c r="N37" s="148"/>
      <c r="O37" s="149">
        <f>IFERROR(VLOOKUP($E37&amp;$F37,'Planes y paquetes'!$A$482:$M$520,O$18,FALSE),0)/(SUMIFS('Planes y paquetes'!$I$482:$I$520,'Planes y paquetes'!$E$482:$E$520,"Telefonía fija + Internet fijo")+SUMIFS('Planes y paquetes'!$I$482:$I$520,'Planes y paquetes'!$E$482:$E$520,"Internet fijo"))</f>
        <v>1.2028442969977085E-3</v>
      </c>
      <c r="P37" s="149">
        <f>IFERROR(VLOOKUP($E37&amp;$F37,'Planes y paquetes'!$A$482:$M$520,P$18,FALSE),0)/(SUMIFS('Planes y paquetes'!$M$482:$M$520,'Planes y paquetes'!$E$482:$E$520,"Telefonía fija + Internet fijo")+SUMIFS('Planes y paquetes'!$M$482:$M$520,'Planes y paquetes'!$E$482:$E$520,"Internet fijo"))</f>
        <v>2.0563673176117693E-3</v>
      </c>
      <c r="Q37" s="150"/>
      <c r="T37" s="101" t="s">
        <v>312</v>
      </c>
      <c r="Y37" s="151"/>
      <c r="Z37" s="152"/>
    </row>
    <row r="38" spans="3:26" ht="12" x14ac:dyDescent="0.2">
      <c r="C38" s="145" t="str">
        <f t="shared" si="3"/>
        <v>Infinitum 549Residencial</v>
      </c>
      <c r="D38" s="93">
        <f t="shared" si="4"/>
        <v>18</v>
      </c>
      <c r="E38" s="146" t="str">
        <v>Infinitum 549</v>
      </c>
      <c r="F38" s="147" t="str">
        <f>IFERROR(VLOOKUP($E38,'Planes y paquetes'!$C$391:$G$432,2,FALSE),"")</f>
        <v>Residencial</v>
      </c>
      <c r="G38" s="147" t="str">
        <f>IFERROR(VLOOKUP($E38,'Planes y paquetes'!$C$391:$G$432,3,FALSE),"")</f>
        <v>Internet fijo</v>
      </c>
      <c r="H38" s="19" t="s">
        <v>223</v>
      </c>
      <c r="I38" s="148"/>
      <c r="J38" s="148"/>
      <c r="K38" s="148"/>
      <c r="L38" s="148"/>
      <c r="M38" s="148"/>
      <c r="N38" s="148"/>
      <c r="O38" s="149">
        <f>IFERROR(VLOOKUP($E38&amp;$F38,'Planes y paquetes'!$A$482:$M$520,O$18,FALSE),0)/(SUMIFS('Planes y paquetes'!$I$482:$I$520,'Planes y paquetes'!$E$482:$E$520,"Telefonía fija + Internet fijo")+SUMIFS('Planes y paquetes'!$I$482:$I$520,'Planes y paquetes'!$E$482:$E$520,"Internet fijo"))</f>
        <v>1.1184563978465062E-2</v>
      </c>
      <c r="P38" s="149">
        <f>IFERROR(VLOOKUP($E38&amp;$F38,'Planes y paquetes'!$A$482:$M$520,P$18,FALSE),0)/(SUMIFS('Planes y paquetes'!$M$482:$M$520,'Planes y paquetes'!$E$482:$E$520,"Telefonía fija + Internet fijo")+SUMIFS('Planes y paquetes'!$M$482:$M$520,'Planes y paquetes'!$E$482:$E$520,"Internet fijo"))</f>
        <v>1.8701021022467908E-2</v>
      </c>
      <c r="Q38" s="150"/>
      <c r="T38" s="101" t="s">
        <v>312</v>
      </c>
      <c r="Y38" s="151"/>
      <c r="Z38" s="152"/>
    </row>
    <row r="39" spans="3:26" ht="12" x14ac:dyDescent="0.2">
      <c r="C39" s="145" t="str">
        <f t="shared" si="3"/>
        <v>Infinitum 649Residencial</v>
      </c>
      <c r="D39" s="93">
        <f t="shared" si="4"/>
        <v>19</v>
      </c>
      <c r="E39" s="146" t="str">
        <v>Infinitum 649</v>
      </c>
      <c r="F39" s="147" t="str">
        <f>IFERROR(VLOOKUP($E39,'Planes y paquetes'!$C$391:$G$432,2,FALSE),"")</f>
        <v>Residencial</v>
      </c>
      <c r="G39" s="147" t="str">
        <f>IFERROR(VLOOKUP($E39,'Planes y paquetes'!$C$391:$G$432,3,FALSE),"")</f>
        <v>Internet fijo</v>
      </c>
      <c r="H39" s="19" t="s">
        <v>223</v>
      </c>
      <c r="I39" s="148"/>
      <c r="J39" s="148"/>
      <c r="K39" s="148"/>
      <c r="L39" s="148"/>
      <c r="M39" s="148"/>
      <c r="N39" s="148"/>
      <c r="O39" s="149">
        <f>IFERROR(VLOOKUP($E39&amp;$F39,'Planes y paquetes'!$A$482:$M$520,O$18,FALSE),0)/(SUMIFS('Planes y paquetes'!$I$482:$I$520,'Planes y paquetes'!$E$482:$E$520,"Telefonía fija + Internet fijo")+SUMIFS('Planes y paquetes'!$I$482:$I$520,'Planes y paquetes'!$E$482:$E$520,"Internet fijo"))</f>
        <v>1.0002172837281647E-3</v>
      </c>
      <c r="P39" s="149">
        <f>IFERROR(VLOOKUP($E39&amp;$F39,'Planes y paquetes'!$A$482:$M$520,P$18,FALSE),0)/(SUMIFS('Planes y paquetes'!$M$482:$M$520,'Planes y paquetes'!$E$482:$E$520,"Telefonía fija + Internet fijo")+SUMIFS('Planes y paquetes'!$M$482:$M$520,'Planes y paquetes'!$E$482:$E$520,"Internet fijo"))</f>
        <v>1.7727247564101941E-3</v>
      </c>
      <c r="Q39" s="150"/>
      <c r="T39" s="101" t="s">
        <v>312</v>
      </c>
      <c r="Y39" s="151"/>
      <c r="Z39" s="152"/>
    </row>
    <row r="40" spans="3:26" ht="12" x14ac:dyDescent="0.2">
      <c r="C40" s="145" t="str">
        <f t="shared" si="3"/>
        <v>Infinitum 899Residencial</v>
      </c>
      <c r="D40" s="93">
        <f t="shared" si="4"/>
        <v>20</v>
      </c>
      <c r="E40" s="146" t="str">
        <v>Infinitum 899</v>
      </c>
      <c r="F40" s="147" t="str">
        <f>IFERROR(VLOOKUP($E40,'Planes y paquetes'!$C$391:$G$432,2,FALSE),"")</f>
        <v>Residencial</v>
      </c>
      <c r="G40" s="147" t="str">
        <f>IFERROR(VLOOKUP($E40,'Planes y paquetes'!$C$391:$G$432,3,FALSE),"")</f>
        <v>Internet fijo</v>
      </c>
      <c r="H40" s="19" t="s">
        <v>223</v>
      </c>
      <c r="I40" s="148"/>
      <c r="J40" s="148"/>
      <c r="K40" s="148"/>
      <c r="L40" s="148"/>
      <c r="M40" s="148"/>
      <c r="N40" s="148"/>
      <c r="O40" s="149">
        <f>IFERROR(VLOOKUP($E40&amp;$F40,'Planes y paquetes'!$A$482:$M$520,O$18,FALSE),0)/(SUMIFS('Planes y paquetes'!$I$482:$I$520,'Planes y paquetes'!$E$482:$E$520,"Telefonía fija + Internet fijo")+SUMIFS('Planes y paquetes'!$I$482:$I$520,'Planes y paquetes'!$E$482:$E$520,"Internet fijo"))</f>
        <v>1.6019706574223922E-3</v>
      </c>
      <c r="P40" s="149">
        <f>IFERROR(VLOOKUP($E40&amp;$F40,'Planes y paquetes'!$A$482:$M$520,P$18,FALSE),0)/(SUMIFS('Planes y paquetes'!$M$482:$M$520,'Planes y paquetes'!$E$482:$E$520,"Telefonía fija + Internet fijo")+SUMIFS('Planes y paquetes'!$M$482:$M$520,'Planes y paquetes'!$E$482:$E$520,"Internet fijo"))</f>
        <v>1.5461737171258642E-3</v>
      </c>
      <c r="Q40" s="150"/>
      <c r="T40" s="101" t="s">
        <v>312</v>
      </c>
      <c r="Y40" s="151"/>
      <c r="Z40" s="152"/>
    </row>
    <row r="41" spans="3:26" ht="12" x14ac:dyDescent="0.2">
      <c r="C41" s="145" t="str">
        <f t="shared" si="3"/>
        <v>Paquete Conectes NegocioNo residencial</v>
      </c>
      <c r="D41" s="93">
        <f t="shared" si="4"/>
        <v>21</v>
      </c>
      <c r="E41" s="146" t="str">
        <v>Paquete Conectes Negocio</v>
      </c>
      <c r="F41" s="147" t="str">
        <f>IFERROR(VLOOKUP($E41,'Planes y paquetes'!$C$391:$G$432,2,FALSE),"")</f>
        <v>No residencial</v>
      </c>
      <c r="G41" s="147" t="str">
        <f>IFERROR(VLOOKUP($E41,'Planes y paquetes'!$C$391:$G$432,3,FALSE),"")</f>
        <v>Telefonía fija + Internet fijo</v>
      </c>
      <c r="H41" s="19" t="s">
        <v>223</v>
      </c>
      <c r="I41" s="148"/>
      <c r="J41" s="148"/>
      <c r="K41" s="148"/>
      <c r="L41" s="148"/>
      <c r="M41" s="148"/>
      <c r="N41" s="148"/>
      <c r="O41" s="149">
        <f>IFERROR(VLOOKUP($E41&amp;$F41,'Planes y paquetes'!$A$482:$M$520,O$18,FALSE),0)/(SUMIFS('Planes y paquetes'!$I$482:$I$520,'Planes y paquetes'!$E$482:$E$520,"Telefonía fija + Internet fijo")+SUMIFS('Planes y paquetes'!$I$482:$I$520,'Planes y paquetes'!$E$482:$E$520,"Internet fijo"))</f>
        <v>6.2068123748382796E-2</v>
      </c>
      <c r="P41" s="149">
        <f>IFERROR(VLOOKUP($E41&amp;$F41,'Planes y paquetes'!$A$482:$M$520,P$18,FALSE),0)/(SUMIFS('Planes y paquetes'!$M$482:$M$520,'Planes y paquetes'!$E$482:$E$520,"Telefonía fija + Internet fijo")+SUMIFS('Planes y paquetes'!$M$482:$M$520,'Planes y paquetes'!$E$482:$E$520,"Internet fijo"))</f>
        <v>4.5047520854287176E-2</v>
      </c>
      <c r="Q41" s="150"/>
      <c r="T41" s="101" t="s">
        <v>312</v>
      </c>
      <c r="Y41" s="151"/>
      <c r="Z41" s="152"/>
    </row>
    <row r="42" spans="3:26" ht="12" x14ac:dyDescent="0.2">
      <c r="C42" s="145" t="str">
        <f t="shared" si="3"/>
        <v>Paquete Mi NegocioNo residencial</v>
      </c>
      <c r="D42" s="93">
        <f t="shared" si="4"/>
        <v>22</v>
      </c>
      <c r="E42" s="146" t="str">
        <v>Paquete Mi Negocio</v>
      </c>
      <c r="F42" s="147" t="str">
        <f>IFERROR(VLOOKUP($E42,'Planes y paquetes'!$C$391:$G$432,2,FALSE),"")</f>
        <v>No residencial</v>
      </c>
      <c r="G42" s="147" t="str">
        <f>IFERROR(VLOOKUP($E42,'Planes y paquetes'!$C$391:$G$432,3,FALSE),"")</f>
        <v>Telefonía fija + Internet fijo</v>
      </c>
      <c r="H42" s="19" t="s">
        <v>223</v>
      </c>
      <c r="I42" s="148"/>
      <c r="J42" s="148"/>
      <c r="K42" s="148"/>
      <c r="L42" s="148"/>
      <c r="M42" s="148"/>
      <c r="N42" s="148"/>
      <c r="O42" s="149">
        <f>IFERROR(VLOOKUP($E42&amp;$F42,'Planes y paquetes'!$A$482:$M$520,O$18,FALSE),0)/(SUMIFS('Planes y paquetes'!$I$482:$I$520,'Planes y paquetes'!$E$482:$E$520,"Telefonía fija + Internet fijo")+SUMIFS('Planes y paquetes'!$I$482:$I$520,'Planes y paquetes'!$E$482:$E$520,"Internet fijo"))</f>
        <v>2.9062029867238316E-2</v>
      </c>
      <c r="P42" s="149">
        <f>IFERROR(VLOOKUP($E42&amp;$F42,'Planes y paquetes'!$A$482:$M$520,P$18,FALSE),0)/(SUMIFS('Planes y paquetes'!$M$482:$M$520,'Planes y paquetes'!$E$482:$E$520,"Telefonía fija + Internet fijo")+SUMIFS('Planes y paquetes'!$M$482:$M$520,'Planes y paquetes'!$E$482:$E$520,"Internet fijo"))</f>
        <v>2.655622042244591E-2</v>
      </c>
      <c r="Q42" s="150"/>
      <c r="T42" s="101" t="s">
        <v>312</v>
      </c>
      <c r="Y42" s="151"/>
      <c r="Z42" s="152"/>
    </row>
    <row r="43" spans="3:26" ht="12" x14ac:dyDescent="0.2">
      <c r="C43" s="145" t="str">
        <f t="shared" si="3"/>
        <v>Paquete Negocio 649No residencial</v>
      </c>
      <c r="D43" s="93">
        <f t="shared" si="4"/>
        <v>23</v>
      </c>
      <c r="E43" s="146" t="str">
        <v>Paquete Negocio 649</v>
      </c>
      <c r="F43" s="147" t="str">
        <f>IFERROR(VLOOKUP($E43,'Planes y paquetes'!$C$391:$G$432,2,FALSE),"")</f>
        <v>No residencial</v>
      </c>
      <c r="G43" s="147" t="str">
        <f>IFERROR(VLOOKUP($E43,'Planes y paquetes'!$C$391:$G$432,3,FALSE),"")</f>
        <v>Telefonía fija + Internet fijo</v>
      </c>
      <c r="H43" s="19" t="s">
        <v>223</v>
      </c>
      <c r="I43" s="148"/>
      <c r="J43" s="148"/>
      <c r="K43" s="148"/>
      <c r="L43" s="148"/>
      <c r="M43" s="148"/>
      <c r="N43" s="148"/>
      <c r="O43" s="149">
        <f>IFERROR(VLOOKUP($E43&amp;$F43,'Planes y paquetes'!$A$482:$M$520,O$18,FALSE),0)/(SUMIFS('Planes y paquetes'!$I$482:$I$520,'Planes y paquetes'!$E$482:$E$520,"Telefonía fija + Internet fijo")+SUMIFS('Planes y paquetes'!$I$482:$I$520,'Planes y paquetes'!$E$482:$E$520,"Internet fijo"))</f>
        <v>1.6335198572816879E-3</v>
      </c>
      <c r="P43" s="149">
        <f>IFERROR(VLOOKUP($E43&amp;$F43,'Planes y paquetes'!$A$482:$M$520,P$18,FALSE),0)/(SUMIFS('Planes y paquetes'!$M$482:$M$520,'Planes y paquetes'!$E$482:$E$520,"Telefonía fija + Internet fijo")+SUMIFS('Planes y paquetes'!$M$482:$M$520,'Planes y paquetes'!$E$482:$E$520,"Internet fijo"))</f>
        <v>2.3697106705622005E-3</v>
      </c>
      <c r="Q43" s="150"/>
      <c r="T43" s="101" t="s">
        <v>312</v>
      </c>
      <c r="Y43" s="151"/>
      <c r="Z43" s="152"/>
    </row>
    <row r="44" spans="3:26" ht="12" x14ac:dyDescent="0.2">
      <c r="C44" s="145" t="str">
        <f t="shared" si="3"/>
        <v>Paquete SupernegocioNo residencial</v>
      </c>
      <c r="D44" s="93">
        <f t="shared" si="4"/>
        <v>24</v>
      </c>
      <c r="E44" s="146" t="str">
        <v>Paquete Supernegocio</v>
      </c>
      <c r="F44" s="147" t="str">
        <f>IFERROR(VLOOKUP($E44,'Planes y paquetes'!$C$391:$G$432,2,FALSE),"")</f>
        <v>No residencial</v>
      </c>
      <c r="G44" s="147" t="str">
        <f>IFERROR(VLOOKUP($E44,'Planes y paquetes'!$C$391:$G$432,3,FALSE),"")</f>
        <v>Telefonía fija + Internet fijo</v>
      </c>
      <c r="H44" s="19" t="s">
        <v>223</v>
      </c>
      <c r="I44" s="148"/>
      <c r="J44" s="148"/>
      <c r="K44" s="148"/>
      <c r="L44" s="148"/>
      <c r="M44" s="148"/>
      <c r="N44" s="148"/>
      <c r="O44" s="149">
        <f>IFERROR(VLOOKUP($E44&amp;$F44,'Planes y paquetes'!$A$482:$M$520,O$18,FALSE),0)/(SUMIFS('Planes y paquetes'!$I$482:$I$520,'Planes y paquetes'!$E$482:$E$520,"Telefonía fija + Internet fijo")+SUMIFS('Planes y paquetes'!$I$482:$I$520,'Planes y paquetes'!$E$482:$E$520,"Internet fijo"))</f>
        <v>1.9045117508762564E-2</v>
      </c>
      <c r="P44" s="149">
        <f>IFERROR(VLOOKUP($E44&amp;$F44,'Planes y paquetes'!$A$482:$M$520,P$18,FALSE),0)/(SUMIFS('Planes y paquetes'!$M$482:$M$520,'Planes y paquetes'!$E$482:$E$520,"Telefonía fija + Internet fijo")+SUMIFS('Planes y paquetes'!$M$482:$M$520,'Planes y paquetes'!$E$482:$E$520,"Internet fijo"))</f>
        <v>2.0123193934042296E-2</v>
      </c>
      <c r="Q44" s="150"/>
      <c r="T44" s="101" t="s">
        <v>312</v>
      </c>
      <c r="Y44" s="151"/>
      <c r="Z44" s="152"/>
    </row>
    <row r="45" spans="3:26" ht="12" x14ac:dyDescent="0.2">
      <c r="C45" s="145" t="str">
        <f t="shared" si="3"/>
        <v>Paquete Negocio 999No residencial</v>
      </c>
      <c r="D45" s="93">
        <f t="shared" si="4"/>
        <v>25</v>
      </c>
      <c r="E45" s="146" t="str">
        <v>Paquete Negocio 999</v>
      </c>
      <c r="F45" s="147" t="str">
        <f>IFERROR(VLOOKUP($E45,'Planes y paquetes'!$C$391:$G$432,2,FALSE),"")</f>
        <v>No residencial</v>
      </c>
      <c r="G45" s="147" t="str">
        <f>IFERROR(VLOOKUP($E45,'Planes y paquetes'!$C$391:$G$432,3,FALSE),"")</f>
        <v>Telefonía fija + Internet fijo</v>
      </c>
      <c r="H45" s="19" t="s">
        <v>223</v>
      </c>
      <c r="I45" s="148"/>
      <c r="J45" s="148"/>
      <c r="K45" s="148"/>
      <c r="L45" s="148"/>
      <c r="M45" s="148"/>
      <c r="N45" s="148"/>
      <c r="O45" s="149">
        <f>IFERROR(VLOOKUP($E45&amp;$F45,'Planes y paquetes'!$A$482:$M$520,O$18,FALSE),0)/(SUMIFS('Planes y paquetes'!$I$482:$I$520,'Planes y paquetes'!$E$482:$E$520,"Telefonía fija + Internet fijo")+SUMIFS('Planes y paquetes'!$I$482:$I$520,'Planes y paquetes'!$E$482:$E$520,"Internet fijo"))</f>
        <v>6.7702429934278301E-4</v>
      </c>
      <c r="P45" s="149">
        <f>IFERROR(VLOOKUP($E45&amp;$F45,'Planes y paquetes'!$A$482:$M$520,P$18,FALSE),0)/(SUMIFS('Planes y paquetes'!$M$482:$M$520,'Planes y paquetes'!$E$482:$E$520,"Telefonía fija + Internet fijo")+SUMIFS('Planes y paquetes'!$M$482:$M$520,'Planes y paquetes'!$E$482:$E$520,"Internet fijo"))</f>
        <v>6.7189791111856565E-4</v>
      </c>
      <c r="Q45" s="150"/>
      <c r="T45" s="101" t="s">
        <v>312</v>
      </c>
      <c r="Y45" s="151"/>
      <c r="Z45" s="152"/>
    </row>
    <row r="46" spans="3:26" ht="12" x14ac:dyDescent="0.2">
      <c r="C46" s="145" t="str">
        <f t="shared" si="3"/>
        <v>Paquete Telmex Negocio Ilimitado 1No residencial</v>
      </c>
      <c r="D46" s="93">
        <f t="shared" si="4"/>
        <v>26</v>
      </c>
      <c r="E46" s="146" t="str">
        <v>Paquete Telmex Negocio Ilimitado 1</v>
      </c>
      <c r="F46" s="147" t="str">
        <f>IFERROR(VLOOKUP($E46,'Planes y paquetes'!$C$391:$G$432,2,FALSE),"")</f>
        <v>No residencial</v>
      </c>
      <c r="G46" s="147" t="str">
        <f>IFERROR(VLOOKUP($E46,'Planes y paquetes'!$C$391:$G$432,3,FALSE),"")</f>
        <v>Telefonía fija + Internet fijo</v>
      </c>
      <c r="H46" s="19" t="s">
        <v>223</v>
      </c>
      <c r="I46" s="148"/>
      <c r="J46" s="148"/>
      <c r="K46" s="148"/>
      <c r="L46" s="148"/>
      <c r="M46" s="148"/>
      <c r="N46" s="148"/>
      <c r="O46" s="149">
        <f>IFERROR(VLOOKUP($E46&amp;$F46,'Planes y paquetes'!$A$482:$M$520,O$18,FALSE),0)/(SUMIFS('Planes y paquetes'!$I$482:$I$520,'Planes y paquetes'!$E$482:$E$520,"Telefonía fija + Internet fijo")+SUMIFS('Planes y paquetes'!$I$482:$I$520,'Planes y paquetes'!$E$482:$E$520,"Internet fijo"))</f>
        <v>3.9176488045751471E-3</v>
      </c>
      <c r="P46" s="149">
        <f>IFERROR(VLOOKUP($E46&amp;$F46,'Planes y paquetes'!$A$482:$M$520,P$18,FALSE),0)/(SUMIFS('Planes y paquetes'!$M$482:$M$520,'Planes y paquetes'!$E$482:$E$520,"Telefonía fija + Internet fijo")+SUMIFS('Planes y paquetes'!$M$482:$M$520,'Planes y paquetes'!$E$482:$E$520,"Internet fijo"))</f>
        <v>4.9853603972447895E-3</v>
      </c>
      <c r="Q46" s="150"/>
      <c r="T46" s="101" t="s">
        <v>312</v>
      </c>
      <c r="Y46" s="151"/>
      <c r="Z46" s="152"/>
    </row>
    <row r="47" spans="3:26" ht="12" x14ac:dyDescent="0.2">
      <c r="C47" s="145" t="str">
        <f t="shared" si="3"/>
        <v>Paquete Telmex Negocio Ilimitado 2No residencial</v>
      </c>
      <c r="D47" s="93">
        <f t="shared" si="4"/>
        <v>27</v>
      </c>
      <c r="E47" s="146" t="str">
        <v>Paquete Telmex Negocio Ilimitado 2</v>
      </c>
      <c r="F47" s="147" t="str">
        <f>IFERROR(VLOOKUP($E47,'Planes y paquetes'!$C$391:$G$432,2,FALSE),"")</f>
        <v>No residencial</v>
      </c>
      <c r="G47" s="147" t="str">
        <f>IFERROR(VLOOKUP($E47,'Planes y paquetes'!$C$391:$G$432,3,FALSE),"")</f>
        <v>Telefonía fija + Internet fijo</v>
      </c>
      <c r="H47" s="19" t="s">
        <v>223</v>
      </c>
      <c r="I47" s="148"/>
      <c r="J47" s="148"/>
      <c r="K47" s="148"/>
      <c r="L47" s="148"/>
      <c r="M47" s="148"/>
      <c r="N47" s="148"/>
      <c r="O47" s="149">
        <f>IFERROR(VLOOKUP($E47&amp;$F47,'Planes y paquetes'!$A$482:$M$520,O$18,FALSE),0)/(SUMIFS('Planes y paquetes'!$I$482:$I$520,'Planes y paquetes'!$E$482:$E$520,"Telefonía fija + Internet fijo")+SUMIFS('Planes y paquetes'!$I$482:$I$520,'Planes y paquetes'!$E$482:$E$520,"Internet fijo"))</f>
        <v>1.6726872366345665E-3</v>
      </c>
      <c r="P47" s="149">
        <f>IFERROR(VLOOKUP($E47&amp;$F47,'Planes y paquetes'!$A$482:$M$520,P$18,FALSE),0)/(SUMIFS('Planes y paquetes'!$M$482:$M$520,'Planes y paquetes'!$E$482:$E$520,"Telefonía fija + Internet fijo")+SUMIFS('Planes y paquetes'!$M$482:$M$520,'Planes y paquetes'!$E$482:$E$520,"Internet fijo"))</f>
        <v>1.503107569090023E-3</v>
      </c>
      <c r="Q47" s="150"/>
      <c r="T47" s="101" t="s">
        <v>312</v>
      </c>
      <c r="Y47" s="151"/>
      <c r="Z47" s="152"/>
    </row>
    <row r="48" spans="3:26" ht="12" x14ac:dyDescent="0.2">
      <c r="C48" s="145" t="str">
        <f t="shared" si="3"/>
        <v>Paquete Telmex Negocio Ilimitado 3No residencial</v>
      </c>
      <c r="D48" s="93">
        <f t="shared" si="4"/>
        <v>28</v>
      </c>
      <c r="E48" s="146" t="str">
        <v>Paquete Telmex Negocio Ilimitado 3</v>
      </c>
      <c r="F48" s="147" t="str">
        <f>IFERROR(VLOOKUP($E48,'Planes y paquetes'!$C$391:$G$432,2,FALSE),"")</f>
        <v>No residencial</v>
      </c>
      <c r="G48" s="147" t="str">
        <f>IFERROR(VLOOKUP($E48,'Planes y paquetes'!$C$391:$G$432,3,FALSE),"")</f>
        <v>Telefonía fija + Internet fijo</v>
      </c>
      <c r="H48" s="19" t="s">
        <v>223</v>
      </c>
      <c r="I48" s="148"/>
      <c r="J48" s="148"/>
      <c r="K48" s="148"/>
      <c r="L48" s="148"/>
      <c r="M48" s="148"/>
      <c r="N48" s="148"/>
      <c r="O48" s="149">
        <f>IFERROR(VLOOKUP($E48&amp;$F48,'Planes y paquetes'!$A$482:$M$520,O$18,FALSE),0)/(SUMIFS('Planes y paquetes'!$I$482:$I$520,'Planes y paquetes'!$E$482:$E$520,"Telefonía fija + Internet fijo")+SUMIFS('Planes y paquetes'!$I$482:$I$520,'Planes y paquetes'!$E$482:$E$520,"Internet fijo"))</f>
        <v>1.7443974914328603E-3</v>
      </c>
      <c r="P48" s="149">
        <f>IFERROR(VLOOKUP($E48&amp;$F48,'Planes y paquetes'!$A$482:$M$520,P$18,FALSE),0)/(SUMIFS('Planes y paquetes'!$M$482:$M$520,'Planes y paquetes'!$E$482:$E$520,"Telefonía fija + Internet fijo")+SUMIFS('Planes y paquetes'!$M$482:$M$520,'Planes y paquetes'!$E$482:$E$520,"Internet fijo"))</f>
        <v>1.972957594117065E-3</v>
      </c>
      <c r="Q48" s="150"/>
      <c r="T48" s="101" t="s">
        <v>312</v>
      </c>
      <c r="Y48" s="151"/>
      <c r="Z48" s="152"/>
    </row>
    <row r="49" spans="3:26" ht="12" x14ac:dyDescent="0.2">
      <c r="C49" s="145" t="str">
        <f t="shared" si="3"/>
        <v>Infinitum 299 NNo residencial</v>
      </c>
      <c r="D49" s="93">
        <f t="shared" si="4"/>
        <v>29</v>
      </c>
      <c r="E49" s="146" t="str">
        <v>Infinitum 299 N</v>
      </c>
      <c r="F49" s="147" t="str">
        <f>IFERROR(VLOOKUP($E49,'Planes y paquetes'!$C$391:$G$432,2,FALSE),"")</f>
        <v>No residencial</v>
      </c>
      <c r="G49" s="147" t="str">
        <f>IFERROR(VLOOKUP($E49,'Planes y paquetes'!$C$391:$G$432,3,FALSE),"")</f>
        <v>Internet fijo</v>
      </c>
      <c r="H49" s="19" t="s">
        <v>223</v>
      </c>
      <c r="I49" s="148"/>
      <c r="J49" s="148"/>
      <c r="K49" s="148"/>
      <c r="L49" s="148"/>
      <c r="M49" s="148"/>
      <c r="N49" s="148"/>
      <c r="O49" s="149">
        <f>IFERROR(VLOOKUP($E49&amp;$F49,'Planes y paquetes'!$A$482:$M$520,O$18,FALSE),0)/(SUMIFS('Planes y paquetes'!$I$482:$I$520,'Planes y paquetes'!$E$482:$E$520,"Telefonía fija + Internet fijo")+SUMIFS('Planes y paquetes'!$I$482:$I$520,'Planes y paquetes'!$E$482:$E$520,"Internet fijo"))</f>
        <v>1.4184718991856496E-4</v>
      </c>
      <c r="P49" s="149">
        <f>IFERROR(VLOOKUP($E49&amp;$F49,'Planes y paquetes'!$A$482:$M$520,P$18,FALSE),0)/(SUMIFS('Planes y paquetes'!$M$482:$M$520,'Planes y paquetes'!$E$482:$E$520,"Telefonía fija + Internet fijo")+SUMIFS('Planes y paquetes'!$M$482:$M$520,'Planes y paquetes'!$E$482:$E$520,"Internet fijo"))</f>
        <v>2.8983022614925355E-4</v>
      </c>
      <c r="Q49" s="150"/>
      <c r="T49" s="101" t="s">
        <v>312</v>
      </c>
      <c r="Y49" s="151"/>
      <c r="Z49" s="152"/>
    </row>
    <row r="50" spans="3:26" ht="12" x14ac:dyDescent="0.2">
      <c r="C50" s="145" t="str">
        <f t="shared" si="3"/>
        <v>Infinitum Negocio 349No residencial</v>
      </c>
      <c r="D50" s="93">
        <f t="shared" si="4"/>
        <v>30</v>
      </c>
      <c r="E50" s="146" t="str">
        <v>Infinitum Negocio 349</v>
      </c>
      <c r="F50" s="147" t="str">
        <f>IFERROR(VLOOKUP($E50,'Planes y paquetes'!$C$391:$G$432,2,FALSE),"")</f>
        <v>No residencial</v>
      </c>
      <c r="G50" s="147" t="str">
        <f>IFERROR(VLOOKUP($E50,'Planes y paquetes'!$C$391:$G$432,3,FALSE),"")</f>
        <v>Internet fijo</v>
      </c>
      <c r="H50" s="19" t="s">
        <v>223</v>
      </c>
      <c r="I50" s="148"/>
      <c r="J50" s="148"/>
      <c r="K50" s="148"/>
      <c r="L50" s="148"/>
      <c r="M50" s="148"/>
      <c r="N50" s="148"/>
      <c r="O50" s="149">
        <f>IFERROR(VLOOKUP($E50&amp;$F50,'Planes y paquetes'!$A$482:$M$520,O$18,FALSE),0)/(SUMIFS('Planes y paquetes'!$I$482:$I$520,'Planes y paquetes'!$E$482:$E$520,"Telefonía fija + Internet fijo")+SUMIFS('Planes y paquetes'!$I$482:$I$520,'Planes y paquetes'!$E$482:$E$520,"Internet fijo"))</f>
        <v>1.4269181416676659E-2</v>
      </c>
      <c r="P50" s="149">
        <f>IFERROR(VLOOKUP($E50&amp;$F50,'Planes y paquetes'!$A$482:$M$520,P$18,FALSE),0)/(SUMIFS('Planes y paquetes'!$M$482:$M$520,'Planes y paquetes'!$E$482:$E$520,"Telefonía fija + Internet fijo")+SUMIFS('Planes y paquetes'!$M$482:$M$520,'Planes y paquetes'!$E$482:$E$520,"Internet fijo"))</f>
        <v>1.2327726126359214E-2</v>
      </c>
      <c r="Q50" s="150"/>
      <c r="T50" s="101" t="s">
        <v>312</v>
      </c>
      <c r="Y50" s="151"/>
      <c r="Z50" s="152"/>
    </row>
    <row r="51" spans="3:26" ht="12" x14ac:dyDescent="0.2">
      <c r="C51" s="145" t="str">
        <f t="shared" si="3"/>
        <v>Infinitum Negocio 399No residencial</v>
      </c>
      <c r="D51" s="93">
        <f t="shared" si="4"/>
        <v>31</v>
      </c>
      <c r="E51" s="146" t="str">
        <v>Infinitum Negocio 399</v>
      </c>
      <c r="F51" s="147" t="str">
        <f>IFERROR(VLOOKUP($E51,'Planes y paquetes'!$C$391:$G$432,2,FALSE),"")</f>
        <v>No residencial</v>
      </c>
      <c r="G51" s="147" t="str">
        <f>IFERROR(VLOOKUP($E51,'Planes y paquetes'!$C$391:$G$432,3,FALSE),"")</f>
        <v>Internet fijo</v>
      </c>
      <c r="H51" s="19" t="s">
        <v>223</v>
      </c>
      <c r="I51" s="148"/>
      <c r="J51" s="148"/>
      <c r="K51" s="148"/>
      <c r="L51" s="148"/>
      <c r="M51" s="148"/>
      <c r="N51" s="148"/>
      <c r="O51" s="149">
        <f>IFERROR(VLOOKUP($E51&amp;$F51,'Planes y paquetes'!$A$482:$M$520,O$18,FALSE),0)/(SUMIFS('Planes y paquetes'!$I$482:$I$520,'Planes y paquetes'!$E$482:$E$520,"Telefonía fija + Internet fijo")+SUMIFS('Planes y paquetes'!$I$482:$I$520,'Planes y paquetes'!$E$482:$E$520,"Internet fijo"))</f>
        <v>2.0598066837269726E-3</v>
      </c>
      <c r="P51" s="149">
        <f>IFERROR(VLOOKUP($E51&amp;$F51,'Planes y paquetes'!$A$482:$M$520,P$18,FALSE),0)/(SUMIFS('Planes y paquetes'!$M$482:$M$520,'Planes y paquetes'!$E$482:$E$520,"Telefonía fija + Internet fijo")+SUMIFS('Planes y paquetes'!$M$482:$M$520,'Planes y paquetes'!$E$482:$E$520,"Internet fijo"))</f>
        <v>3.0185079658761002E-3</v>
      </c>
      <c r="Q51" s="150"/>
      <c r="T51" s="101" t="s">
        <v>312</v>
      </c>
      <c r="Y51" s="151"/>
      <c r="Z51" s="152"/>
    </row>
    <row r="52" spans="3:26" ht="12" x14ac:dyDescent="0.2">
      <c r="C52" s="145" t="str">
        <f t="shared" si="3"/>
        <v>Infinitum Negocio 449No residencial</v>
      </c>
      <c r="D52" s="93">
        <f t="shared" si="4"/>
        <v>32</v>
      </c>
      <c r="E52" s="146" t="str">
        <v>Infinitum Negocio 449</v>
      </c>
      <c r="F52" s="147" t="str">
        <f>IFERROR(VLOOKUP($E52,'Planes y paquetes'!$C$391:$G$432,2,FALSE),"")</f>
        <v>No residencial</v>
      </c>
      <c r="G52" s="147" t="str">
        <f>IFERROR(VLOOKUP($E52,'Planes y paquetes'!$C$391:$G$432,3,FALSE),"")</f>
        <v>Internet fijo</v>
      </c>
      <c r="H52" s="19" t="s">
        <v>223</v>
      </c>
      <c r="I52" s="148"/>
      <c r="J52" s="148"/>
      <c r="K52" s="148"/>
      <c r="L52" s="148"/>
      <c r="M52" s="148"/>
      <c r="N52" s="148"/>
      <c r="O52" s="149">
        <f>IFERROR(VLOOKUP($E52&amp;$F52,'Planes y paquetes'!$A$482:$M$520,O$18,FALSE),0)/(SUMIFS('Planes y paquetes'!$I$482:$I$520,'Planes y paquetes'!$E$482:$E$520,"Telefonía fija + Internet fijo")+SUMIFS('Planes y paquetes'!$I$482:$I$520,'Planes y paquetes'!$E$482:$E$520,"Internet fijo"))</f>
        <v>1.7299063891352837E-3</v>
      </c>
      <c r="P52" s="149">
        <f>IFERROR(VLOOKUP($E52&amp;$F52,'Planes y paquetes'!$A$482:$M$520,P$18,FALSE),0)/(SUMIFS('Planes y paquetes'!$M$482:$M$520,'Planes y paquetes'!$E$482:$E$520,"Telefonía fija + Internet fijo")+SUMIFS('Planes y paquetes'!$M$482:$M$520,'Planes y paquetes'!$E$482:$E$520,"Internet fijo"))</f>
        <v>1.2353054301545044E-3</v>
      </c>
      <c r="Q52" s="150"/>
      <c r="T52" s="101" t="s">
        <v>312</v>
      </c>
      <c r="Y52" s="151"/>
      <c r="Z52" s="152"/>
    </row>
    <row r="53" spans="3:26" ht="12" x14ac:dyDescent="0.2">
      <c r="C53" s="145" t="str">
        <f t="shared" si="3"/>
        <v>Infinitum Negocio 499No residencial</v>
      </c>
      <c r="D53" s="93">
        <f t="shared" si="4"/>
        <v>33</v>
      </c>
      <c r="E53" s="146" t="str">
        <v>Infinitum Negocio 499</v>
      </c>
      <c r="F53" s="147" t="str">
        <f>IFERROR(VLOOKUP($E53,'Planes y paquetes'!$C$391:$G$432,2,FALSE),"")</f>
        <v>No residencial</v>
      </c>
      <c r="G53" s="147" t="str">
        <f>IFERROR(VLOOKUP($E53,'Planes y paquetes'!$C$391:$G$432,3,FALSE),"")</f>
        <v>Internet fijo</v>
      </c>
      <c r="H53" s="19" t="s">
        <v>223</v>
      </c>
      <c r="I53" s="148"/>
      <c r="J53" s="148"/>
      <c r="K53" s="148"/>
      <c r="L53" s="148"/>
      <c r="M53" s="148"/>
      <c r="N53" s="148"/>
      <c r="O53" s="149">
        <f>IFERROR(VLOOKUP($E53&amp;$F53,'Planes y paquetes'!$A$482:$M$520,O$18,FALSE),0)/(SUMIFS('Planes y paquetes'!$I$482:$I$520,'Planes y paquetes'!$E$482:$E$520,"Telefonía fija + Internet fijo")+SUMIFS('Planes y paquetes'!$I$482:$I$520,'Planes y paquetes'!$E$482:$E$520,"Internet fijo"))</f>
        <v>7.0799385511017543E-5</v>
      </c>
      <c r="P53" s="149">
        <f>IFERROR(VLOOKUP($E53&amp;$F53,'Planes y paquetes'!$A$482:$M$520,P$18,FALSE),0)/(SUMIFS('Planes y paquetes'!$M$482:$M$520,'Planes y paquetes'!$E$482:$E$520,"Telefonía fija + Internet fijo")+SUMIFS('Planes y paquetes'!$M$482:$M$520,'Planes y paquetes'!$E$482:$E$520,"Internet fijo"))</f>
        <v>5.2174390838823786E-4</v>
      </c>
      <c r="Q53" s="150"/>
      <c r="T53" s="101" t="s">
        <v>312</v>
      </c>
      <c r="Y53" s="151"/>
      <c r="Z53" s="152"/>
    </row>
    <row r="54" spans="3:26" ht="12" x14ac:dyDescent="0.2">
      <c r="C54" s="145" t="str">
        <f t="shared" si="3"/>
        <v>Infinitum Negocio 549No residencial</v>
      </c>
      <c r="D54" s="93">
        <f t="shared" si="4"/>
        <v>34</v>
      </c>
      <c r="E54" s="146" t="str">
        <v>Infinitum Negocio 549</v>
      </c>
      <c r="F54" s="147" t="str">
        <f>IFERROR(VLOOKUP($E54,'Planes y paquetes'!$C$391:$G$432,2,FALSE),"")</f>
        <v>No residencial</v>
      </c>
      <c r="G54" s="147" t="str">
        <f>IFERROR(VLOOKUP($E54,'Planes y paquetes'!$C$391:$G$432,3,FALSE),"")</f>
        <v>Internet fijo</v>
      </c>
      <c r="H54" s="19" t="s">
        <v>223</v>
      </c>
      <c r="I54" s="148"/>
      <c r="J54" s="148"/>
      <c r="K54" s="148"/>
      <c r="L54" s="148"/>
      <c r="M54" s="148"/>
      <c r="N54" s="148"/>
      <c r="O54" s="149">
        <f>IFERROR(VLOOKUP($E54&amp;$F54,'Planes y paquetes'!$A$482:$M$520,O$18,FALSE),0)/(SUMIFS('Planes y paquetes'!$I$482:$I$520,'Planes y paquetes'!$E$482:$E$520,"Telefonía fija + Internet fijo")+SUMIFS('Planes y paquetes'!$I$482:$I$520,'Planes y paquetes'!$E$482:$E$520,"Internet fijo"))</f>
        <v>1.8842573301791862E-3</v>
      </c>
      <c r="P54" s="149">
        <f>IFERROR(VLOOKUP($E54&amp;$F54,'Planes y paquetes'!$A$482:$M$520,P$18,FALSE),0)/(SUMIFS('Planes y paquetes'!$M$482:$M$520,'Planes y paquetes'!$E$482:$E$520,"Telefonía fija + Internet fijo")+SUMIFS('Planes y paquetes'!$M$482:$M$520,'Planes y paquetes'!$E$482:$E$520,"Internet fijo"))</f>
        <v>2.3717732255447601E-3</v>
      </c>
      <c r="Q54" s="150"/>
      <c r="T54" s="101" t="s">
        <v>312</v>
      </c>
      <c r="Y54" s="151"/>
      <c r="Z54" s="152"/>
    </row>
    <row r="55" spans="3:26" ht="12" x14ac:dyDescent="0.2">
      <c r="C55" s="145" t="str">
        <f t="shared" si="3"/>
        <v>Infinitum Negocio 649No residencial</v>
      </c>
      <c r="D55" s="93">
        <f t="shared" si="4"/>
        <v>35</v>
      </c>
      <c r="E55" s="146" t="str">
        <v>Infinitum Negocio 649</v>
      </c>
      <c r="F55" s="147" t="str">
        <f>IFERROR(VLOOKUP($E55,'Planes y paquetes'!$C$391:$G$432,2,FALSE),"")</f>
        <v>No residencial</v>
      </c>
      <c r="G55" s="147" t="str">
        <f>IFERROR(VLOOKUP($E55,'Planes y paquetes'!$C$391:$G$432,3,FALSE),"")</f>
        <v>Internet fijo</v>
      </c>
      <c r="H55" s="19" t="s">
        <v>223</v>
      </c>
      <c r="I55" s="148"/>
      <c r="J55" s="148"/>
      <c r="K55" s="148"/>
      <c r="L55" s="148"/>
      <c r="M55" s="148"/>
      <c r="N55" s="148"/>
      <c r="O55" s="149">
        <f>IFERROR(VLOOKUP($E55&amp;$F55,'Planes y paquetes'!$A$482:$M$520,O$18,FALSE),0)/(SUMIFS('Planes y paquetes'!$I$482:$I$520,'Planes y paquetes'!$E$482:$E$520,"Telefonía fija + Internet fijo")+SUMIFS('Planes y paquetes'!$I$482:$I$520,'Planes y paquetes'!$E$482:$E$520,"Internet fijo"))</f>
        <v>1.1890984513897216E-4</v>
      </c>
      <c r="P55" s="149">
        <f>IFERROR(VLOOKUP($E55&amp;$F55,'Planes y paquetes'!$A$482:$M$520,P$18,FALSE),0)/(SUMIFS('Planes y paquetes'!$M$482:$M$520,'Planes y paquetes'!$E$482:$E$520,"Telefonía fija + Internet fijo")+SUMIFS('Planes y paquetes'!$M$482:$M$520,'Planes y paquetes'!$E$482:$E$520,"Internet fijo"))</f>
        <v>4.3033147156120317E-4</v>
      </c>
      <c r="Q55" s="510"/>
      <c r="T55" s="101" t="s">
        <v>312</v>
      </c>
      <c r="Y55" s="151"/>
      <c r="Z55" s="152"/>
    </row>
    <row r="56" spans="3:26" ht="12" x14ac:dyDescent="0.2">
      <c r="C56" s="145" t="str">
        <f t="shared" si="3"/>
        <v>Infinitum Negocio 899No residencial</v>
      </c>
      <c r="D56" s="93">
        <f t="shared" si="4"/>
        <v>36</v>
      </c>
      <c r="E56" s="146" t="str">
        <v>Infinitum Negocio 899</v>
      </c>
      <c r="F56" s="147" t="str">
        <f>IFERROR(VLOOKUP($E56,'Planes y paquetes'!$C$391:$G$432,2,FALSE),"")</f>
        <v>No residencial</v>
      </c>
      <c r="G56" s="147" t="str">
        <f>IFERROR(VLOOKUP($E56,'Planes y paquetes'!$C$391:$G$432,3,FALSE),"")</f>
        <v>Internet fijo</v>
      </c>
      <c r="H56" s="19" t="s">
        <v>223</v>
      </c>
      <c r="I56" s="148"/>
      <c r="J56" s="148"/>
      <c r="K56" s="148"/>
      <c r="L56" s="148"/>
      <c r="M56" s="148"/>
      <c r="N56" s="148"/>
      <c r="O56" s="149">
        <f>IFERROR(VLOOKUP($E56&amp;$F56,'Planes y paquetes'!$A$482:$M$520,O$18,FALSE),0)/(SUMIFS('Planes y paquetes'!$I$482:$I$520,'Planes y paquetes'!$E$482:$E$520,"Telefonía fija + Internet fijo")+SUMIFS('Planes y paquetes'!$I$482:$I$520,'Planes y paquetes'!$E$482:$E$520,"Internet fijo"))</f>
        <v>6.1293222403807233E-4</v>
      </c>
      <c r="P56" s="149">
        <f>IFERROR(VLOOKUP($E56&amp;$F56,'Planes y paquetes'!$A$482:$M$520,P$18,FALSE),0)/(SUMIFS('Planes y paquetes'!$M$482:$M$520,'Planes y paquetes'!$E$482:$E$520,"Telefonía fija + Internet fijo")+SUMIFS('Planes y paquetes'!$M$482:$M$520,'Planes y paquetes'!$E$482:$E$520,"Internet fijo"))</f>
        <v>5.3989439223476102E-4</v>
      </c>
      <c r="Q56" s="510"/>
      <c r="T56" s="101" t="s">
        <v>312</v>
      </c>
      <c r="Y56" s="151"/>
      <c r="Z56" s="152"/>
    </row>
    <row r="57" spans="3:26" ht="12" x14ac:dyDescent="0.2">
      <c r="C57" s="145" t="str">
        <f t="shared" si="3"/>
        <v>Infinitum NegocioNo Residencial</v>
      </c>
      <c r="D57" s="93">
        <f t="shared" si="4"/>
        <v>37</v>
      </c>
      <c r="E57" s="146" t="str">
        <v>Infinitum Negocio</v>
      </c>
      <c r="F57" s="147" t="str">
        <f>IFERROR(VLOOKUP($E57,'Planes y paquetes'!$C$391:$G$432,2,FALSE),"")</f>
        <v>No Residencial</v>
      </c>
      <c r="G57" s="147" t="str">
        <f>IFERROR(VLOOKUP($E57,'Planes y paquetes'!$C$391:$G$432,3,FALSE),"")</f>
        <v>Internet fijo</v>
      </c>
      <c r="H57" s="19" t="s">
        <v>223</v>
      </c>
      <c r="I57" s="148"/>
      <c r="J57" s="148"/>
      <c r="K57" s="148"/>
      <c r="L57" s="148"/>
      <c r="M57" s="148"/>
      <c r="N57" s="148"/>
      <c r="O57" s="149">
        <f>IFERROR(VLOOKUP($E57&amp;$F57,'Planes y paquetes'!$A$482:$M$520,O$18,FALSE),0)/(SUMIFS('Planes y paquetes'!$I$482:$I$520,'Planes y paquetes'!$E$482:$E$520,"Telefonía fija + Internet fijo")+SUMIFS('Planes y paquetes'!$I$482:$I$520,'Planes y paquetes'!$E$482:$E$520,"Internet fijo"))</f>
        <v>2.8663400344606693E-3</v>
      </c>
      <c r="P57" s="149">
        <f>IFERROR(VLOOKUP($E57&amp;$F57,'Planes y paquetes'!$A$482:$M$520,P$18,FALSE),0)/(SUMIFS('Planes y paquetes'!$M$482:$M$520,'Planes y paquetes'!$E$482:$E$520,"Telefonía fija + Internet fijo")+SUMIFS('Planes y paquetes'!$M$482:$M$520,'Planes y paquetes'!$E$482:$E$520,"Internet fijo"))</f>
        <v>2.8449233385438974E-3</v>
      </c>
      <c r="Q57" s="510"/>
      <c r="T57" s="101" t="s">
        <v>312</v>
      </c>
      <c r="Y57" s="151"/>
      <c r="Z57" s="152"/>
    </row>
    <row r="58" spans="3:26" ht="12" x14ac:dyDescent="0.2">
      <c r="C58" s="145" t="str">
        <f t="shared" si="3"/>
        <v>Infinitum Negocio RedNo Residencial</v>
      </c>
      <c r="D58" s="93">
        <f t="shared" si="4"/>
        <v>38</v>
      </c>
      <c r="E58" s="146" t="str">
        <v>Infinitum Negocio Red</v>
      </c>
      <c r="F58" s="147" t="str">
        <f>IFERROR(VLOOKUP($E58,'Planes y paquetes'!$C$391:$G$432,2,FALSE),"")</f>
        <v>No Residencial</v>
      </c>
      <c r="G58" s="147" t="str">
        <f>IFERROR(VLOOKUP($E58,'Planes y paquetes'!$C$391:$G$432,3,FALSE),"")</f>
        <v>Internet fijo</v>
      </c>
      <c r="H58" s="19" t="s">
        <v>223</v>
      </c>
      <c r="I58" s="148"/>
      <c r="J58" s="148"/>
      <c r="K58" s="148"/>
      <c r="L58" s="148"/>
      <c r="M58" s="148"/>
      <c r="N58" s="148"/>
      <c r="O58" s="149">
        <f>IFERROR(VLOOKUP($E58&amp;$F58,'Planes y paquetes'!$A$482:$M$520,O$18,FALSE),0)/(SUMIFS('Planes y paquetes'!$I$482:$I$520,'Planes y paquetes'!$E$482:$E$520,"Telefonía fija + Internet fijo")+SUMIFS('Planes y paquetes'!$I$482:$I$520,'Planes y paquetes'!$E$482:$E$520,"Internet fijo"))</f>
        <v>1.0530477023901873E-3</v>
      </c>
      <c r="P58" s="149">
        <f>IFERROR(VLOOKUP($E58&amp;$F58,'Planes y paquetes'!$A$482:$M$520,P$18,FALSE),0)/(SUMIFS('Planes y paquetes'!$M$482:$M$520,'Planes y paquetes'!$E$482:$E$520,"Telefonía fija + Internet fijo")+SUMIFS('Planes y paquetes'!$M$482:$M$520,'Planes y paquetes'!$E$482:$E$520,"Internet fijo"))</f>
        <v>8.565378331572874E-4</v>
      </c>
      <c r="Q58" s="510"/>
      <c r="T58" s="101" t="s">
        <v>312</v>
      </c>
      <c r="Y58" s="151"/>
      <c r="Z58" s="152"/>
    </row>
    <row r="59" spans="3:26" ht="12.6" thickBot="1" x14ac:dyDescent="0.25">
      <c r="C59" s="145" t="str">
        <f t="shared" si="3"/>
        <v>Infinitum Negocio PremiumNo Residencial</v>
      </c>
      <c r="D59" s="93">
        <f t="shared" si="4"/>
        <v>39</v>
      </c>
      <c r="E59" s="146" t="str">
        <v>Infinitum Negocio Premium</v>
      </c>
      <c r="F59" s="147" t="str">
        <f>IFERROR(VLOOKUP($E59,'Planes y paquetes'!$C$391:$G$432,2,FALSE),"")</f>
        <v>No Residencial</v>
      </c>
      <c r="G59" s="147" t="str">
        <f>IFERROR(VLOOKUP($E59,'Planes y paquetes'!$C$391:$G$432,3,FALSE),"")</f>
        <v>Internet fijo</v>
      </c>
      <c r="H59" s="19" t="s">
        <v>223</v>
      </c>
      <c r="I59" s="148"/>
      <c r="J59" s="148"/>
      <c r="K59" s="148"/>
      <c r="L59" s="148"/>
      <c r="M59" s="148"/>
      <c r="N59" s="148"/>
      <c r="O59" s="149">
        <f>IFERROR(VLOOKUP($E59&amp;$F59,'Planes y paquetes'!$A$482:$M$520,O$18,FALSE),0)/(SUMIFS('Planes y paquetes'!$I$482:$I$520,'Planes y paquetes'!$E$482:$E$520,"Telefonía fija + Internet fijo")+SUMIFS('Planes y paquetes'!$I$482:$I$520,'Planes y paquetes'!$E$482:$E$520,"Internet fijo"))</f>
        <v>1.0922978880419092E-3</v>
      </c>
      <c r="P59" s="149">
        <f>IFERROR(VLOOKUP($E59&amp;$F59,'Planes y paquetes'!$A$482:$M$520,P$18,FALSE),0)/(SUMIFS('Planes y paquetes'!$M$482:$M$520,'Planes y paquetes'!$E$482:$E$520,"Telefonía fija + Internet fijo")+SUMIFS('Planes y paquetes'!$M$482:$M$520,'Planes y paquetes'!$E$482:$E$520,"Internet fijo"))</f>
        <v>7.6892049749816211E-4</v>
      </c>
      <c r="Q59" s="510"/>
      <c r="T59" s="101" t="s">
        <v>312</v>
      </c>
      <c r="Y59" s="151"/>
      <c r="Z59" s="152"/>
    </row>
    <row r="60" spans="3:26" ht="12" x14ac:dyDescent="0.2">
      <c r="E60" s="153"/>
      <c r="F60" s="53"/>
      <c r="G60" s="53"/>
      <c r="H60" s="53"/>
      <c r="I60" s="53"/>
      <c r="J60" s="53"/>
      <c r="K60" s="53"/>
      <c r="L60" s="53"/>
      <c r="M60" s="53"/>
      <c r="N60" s="53"/>
      <c r="O60" s="53"/>
      <c r="P60" s="53"/>
      <c r="Q60" s="53"/>
      <c r="R60" s="154" t="s">
        <v>313</v>
      </c>
      <c r="S60" s="53"/>
      <c r="T60" s="53"/>
    </row>
    <row r="63" spans="3:26" ht="12" x14ac:dyDescent="0.2">
      <c r="C63" s="101" t="s">
        <v>314</v>
      </c>
      <c r="D63" s="101"/>
    </row>
    <row r="64" spans="3:26" ht="12" x14ac:dyDescent="0.2">
      <c r="C64" s="101"/>
      <c r="D64" s="101"/>
    </row>
    <row r="65" spans="3:20" ht="12" x14ac:dyDescent="0.2">
      <c r="E65" s="43" t="s">
        <v>309</v>
      </c>
      <c r="F65" s="43" t="s">
        <v>310</v>
      </c>
      <c r="G65" s="43" t="s">
        <v>311</v>
      </c>
      <c r="H65" s="43" t="s">
        <v>213</v>
      </c>
      <c r="I65" s="43">
        <f t="array" ref="I65:O65">TRANSPOSE(Years)</f>
        <v>2018</v>
      </c>
      <c r="J65" s="43">
        <v>2019</v>
      </c>
      <c r="K65" s="43">
        <v>2020</v>
      </c>
      <c r="L65" s="43">
        <v>2021</v>
      </c>
      <c r="M65" s="43">
        <v>2022</v>
      </c>
      <c r="N65" s="43">
        <v>2023</v>
      </c>
      <c r="O65" s="43">
        <v>2024</v>
      </c>
      <c r="P65" s="43">
        <v>2025</v>
      </c>
      <c r="Q65" s="134"/>
      <c r="R65" s="43" t="s">
        <v>214</v>
      </c>
      <c r="S65" s="43"/>
      <c r="T65" s="43" t="s">
        <v>215</v>
      </c>
    </row>
    <row r="66" spans="3:20" ht="12" x14ac:dyDescent="0.2">
      <c r="I66" s="155">
        <f>SUM(I67:I100)</f>
        <v>0</v>
      </c>
      <c r="J66" s="155">
        <f>SUM(J67:J100)</f>
        <v>0</v>
      </c>
      <c r="K66" s="155">
        <f>SUM(K67:K100)</f>
        <v>0</v>
      </c>
      <c r="L66" s="155">
        <f>SUM(L67:L100)</f>
        <v>0</v>
      </c>
      <c r="M66" s="155">
        <f>SUM(M67:M100)</f>
        <v>0</v>
      </c>
      <c r="N66" s="155">
        <f>SUM(N67:N105)</f>
        <v>0</v>
      </c>
      <c r="O66" s="155">
        <f>SUM(O67:O105)</f>
        <v>10488965.999999998</v>
      </c>
      <c r="P66" s="155">
        <f>SUM(P67:P105)</f>
        <v>11077440.000000002</v>
      </c>
      <c r="Q66" s="155"/>
    </row>
    <row r="67" spans="3:20" ht="12" x14ac:dyDescent="0.2">
      <c r="C67" s="145" t="str">
        <f>E67&amp;F67</f>
        <v>Paquete 249Residencial</v>
      </c>
      <c r="D67" s="100">
        <v>1</v>
      </c>
      <c r="E67" s="146" t="str">
        <f t="array" ref="E67:E105">vector.broadband.plans.names</f>
        <v>Paquete 249</v>
      </c>
      <c r="F67" s="146" t="str">
        <f t="shared" ref="F67:G86" si="5">F21</f>
        <v>Residencial</v>
      </c>
      <c r="G67" s="146" t="str">
        <f t="shared" si="5"/>
        <v>Telefonía fija + Internet fijo</v>
      </c>
      <c r="H67" s="19" t="s">
        <v>298</v>
      </c>
      <c r="I67" s="156"/>
      <c r="J67" s="156"/>
      <c r="K67" s="156"/>
      <c r="L67" s="156"/>
      <c r="M67" s="156"/>
      <c r="N67" s="156"/>
      <c r="O67" s="157">
        <f t="shared" ref="O67:P86" si="6">IFERROR(O$10*O21,"")</f>
        <v>155086.98893012275</v>
      </c>
      <c r="P67" s="157">
        <f t="shared" si="6"/>
        <v>201751.81413178524</v>
      </c>
      <c r="Q67" s="158"/>
      <c r="T67" s="101"/>
    </row>
    <row r="68" spans="3:20" ht="12" x14ac:dyDescent="0.2">
      <c r="C68" s="145" t="str">
        <f t="shared" ref="C68:C105" si="7">E68&amp;F68</f>
        <v>Paquete 289Residencial</v>
      </c>
      <c r="D68" s="93">
        <f>1+D67</f>
        <v>2</v>
      </c>
      <c r="E68" s="146" t="str">
        <v>Paquete 289</v>
      </c>
      <c r="F68" s="146" t="str">
        <f t="shared" si="5"/>
        <v>Residencial</v>
      </c>
      <c r="G68" s="146" t="str">
        <f t="shared" si="5"/>
        <v>Telefonía fija + Internet fijo</v>
      </c>
      <c r="H68" s="19" t="s">
        <v>298</v>
      </c>
      <c r="I68" s="156"/>
      <c r="J68" s="156"/>
      <c r="K68" s="156"/>
      <c r="L68" s="156"/>
      <c r="M68" s="156"/>
      <c r="N68" s="156"/>
      <c r="O68" s="157">
        <f t="shared" si="6"/>
        <v>45816.141903829433</v>
      </c>
      <c r="P68" s="157">
        <f t="shared" si="6"/>
        <v>49381.469916934308</v>
      </c>
      <c r="Q68" s="158"/>
      <c r="T68" s="101"/>
    </row>
    <row r="69" spans="3:20" ht="12" x14ac:dyDescent="0.2">
      <c r="C69" s="145" t="str">
        <f t="shared" si="7"/>
        <v>Paquete 333Residencial</v>
      </c>
      <c r="D69" s="93">
        <f t="shared" ref="D69:D105" si="8">1+D68</f>
        <v>3</v>
      </c>
      <c r="E69" s="146" t="str">
        <v>Paquete 333</v>
      </c>
      <c r="F69" s="146" t="str">
        <f t="shared" si="5"/>
        <v>Residencial</v>
      </c>
      <c r="G69" s="146" t="str">
        <f t="shared" si="5"/>
        <v>Telefonía fija + Internet fijo</v>
      </c>
      <c r="H69" s="19" t="s">
        <v>298</v>
      </c>
      <c r="I69" s="156"/>
      <c r="J69" s="156"/>
      <c r="K69" s="156"/>
      <c r="L69" s="156"/>
      <c r="M69" s="156"/>
      <c r="N69" s="156"/>
      <c r="O69" s="157">
        <f t="shared" si="6"/>
        <v>66509.404100203566</v>
      </c>
      <c r="P69" s="157">
        <f t="shared" si="6"/>
        <v>66673.620867248275</v>
      </c>
      <c r="Q69" s="158"/>
      <c r="T69" s="101"/>
    </row>
    <row r="70" spans="3:20" ht="12" x14ac:dyDescent="0.2">
      <c r="C70" s="145" t="str">
        <f t="shared" si="7"/>
        <v>Paquete 389Residencial</v>
      </c>
      <c r="D70" s="93">
        <f t="shared" si="8"/>
        <v>4</v>
      </c>
      <c r="E70" s="146" t="str">
        <v>Paquete 389</v>
      </c>
      <c r="F70" s="146" t="str">
        <f t="shared" si="5"/>
        <v>Residencial</v>
      </c>
      <c r="G70" s="146" t="str">
        <f t="shared" si="5"/>
        <v>Telefonía fija + Internet fijo</v>
      </c>
      <c r="H70" s="19" t="s">
        <v>298</v>
      </c>
      <c r="I70" s="156"/>
      <c r="J70" s="156"/>
      <c r="K70" s="156"/>
      <c r="L70" s="156"/>
      <c r="M70" s="156"/>
      <c r="N70" s="156"/>
      <c r="O70" s="157">
        <f t="shared" si="6"/>
        <v>4967518.993738519</v>
      </c>
      <c r="P70" s="157">
        <f t="shared" si="6"/>
        <v>4930513.988959061</v>
      </c>
      <c r="Q70" s="158"/>
      <c r="T70" s="101"/>
    </row>
    <row r="71" spans="3:20" ht="12" x14ac:dyDescent="0.2">
      <c r="C71" s="145" t="str">
        <f t="shared" si="7"/>
        <v>Paquete 435Residencial</v>
      </c>
      <c r="D71" s="93">
        <f t="shared" si="8"/>
        <v>5</v>
      </c>
      <c r="E71" s="146" t="str">
        <v>Paquete 435</v>
      </c>
      <c r="F71" s="146" t="str">
        <f t="shared" si="5"/>
        <v>Residencial</v>
      </c>
      <c r="G71" s="146" t="str">
        <f t="shared" si="5"/>
        <v>Telefonía fija + Internet fijo</v>
      </c>
      <c r="H71" s="19" t="s">
        <v>298</v>
      </c>
      <c r="I71" s="156"/>
      <c r="J71" s="156"/>
      <c r="K71" s="156"/>
      <c r="L71" s="156"/>
      <c r="M71" s="156"/>
      <c r="N71" s="156"/>
      <c r="O71" s="157">
        <f t="shared" si="6"/>
        <v>195143.75951709354</v>
      </c>
      <c r="P71" s="157">
        <f t="shared" si="6"/>
        <v>267985.84276780358</v>
      </c>
      <c r="Q71" s="158"/>
      <c r="T71" s="101"/>
    </row>
    <row r="72" spans="3:20" ht="12" x14ac:dyDescent="0.2">
      <c r="C72" s="145" t="str">
        <f t="shared" si="7"/>
        <v>Paquete 499Residencial</v>
      </c>
      <c r="D72" s="93">
        <f t="shared" si="8"/>
        <v>6</v>
      </c>
      <c r="E72" s="146" t="str">
        <v>Paquete 499</v>
      </c>
      <c r="F72" s="146" t="str">
        <f t="shared" si="5"/>
        <v>Residencial</v>
      </c>
      <c r="G72" s="146" t="str">
        <f t="shared" si="5"/>
        <v>Telefonía fija + Internet fijo</v>
      </c>
      <c r="H72" s="19" t="s">
        <v>298</v>
      </c>
      <c r="I72" s="156"/>
      <c r="J72" s="156"/>
      <c r="K72" s="156"/>
      <c r="L72" s="156"/>
      <c r="M72" s="156"/>
      <c r="N72" s="156"/>
      <c r="O72" s="157">
        <f t="shared" si="6"/>
        <v>406553.76937683951</v>
      </c>
      <c r="P72" s="157">
        <f t="shared" si="6"/>
        <v>404804.12669400731</v>
      </c>
      <c r="Q72" s="158"/>
      <c r="T72" s="101"/>
    </row>
    <row r="73" spans="3:20" ht="12" x14ac:dyDescent="0.2">
      <c r="C73" s="145" t="str">
        <f t="shared" si="7"/>
        <v>Paquete 599Residencial</v>
      </c>
      <c r="D73" s="93">
        <f t="shared" si="8"/>
        <v>7</v>
      </c>
      <c r="E73" s="146" t="str">
        <v>Paquete 599</v>
      </c>
      <c r="F73" s="146" t="str">
        <f t="shared" si="5"/>
        <v>Residencial</v>
      </c>
      <c r="G73" s="146" t="str">
        <f t="shared" si="5"/>
        <v>Telefonía fija + Internet fijo</v>
      </c>
      <c r="H73" s="19" t="s">
        <v>298</v>
      </c>
      <c r="I73" s="156"/>
      <c r="J73" s="156"/>
      <c r="K73" s="156"/>
      <c r="L73" s="156"/>
      <c r="M73" s="156"/>
      <c r="N73" s="156"/>
      <c r="O73" s="157">
        <f t="shared" si="6"/>
        <v>394606.83038371778</v>
      </c>
      <c r="P73" s="157">
        <f t="shared" si="6"/>
        <v>312350.84333500621</v>
      </c>
      <c r="Q73" s="158"/>
      <c r="T73" s="101"/>
    </row>
    <row r="74" spans="3:20" ht="12" x14ac:dyDescent="0.2">
      <c r="C74" s="145" t="str">
        <f t="shared" si="7"/>
        <v>Paquete 649Residencial</v>
      </c>
      <c r="D74" s="93">
        <f t="shared" si="8"/>
        <v>8</v>
      </c>
      <c r="E74" s="146" t="str">
        <v>Paquete 649</v>
      </c>
      <c r="F74" s="146" t="str">
        <f t="shared" si="5"/>
        <v>Residencial</v>
      </c>
      <c r="G74" s="146" t="str">
        <f t="shared" si="5"/>
        <v>Telefonía fija + Internet fijo</v>
      </c>
      <c r="H74" s="19" t="s">
        <v>298</v>
      </c>
      <c r="I74" s="156"/>
      <c r="J74" s="156"/>
      <c r="K74" s="156"/>
      <c r="L74" s="156"/>
      <c r="M74" s="156"/>
      <c r="N74" s="156"/>
      <c r="O74" s="157">
        <f t="shared" si="6"/>
        <v>180830.01508912939</v>
      </c>
      <c r="P74" s="157">
        <f t="shared" si="6"/>
        <v>239849.19822960181</v>
      </c>
      <c r="Q74" s="158"/>
      <c r="T74" s="101"/>
    </row>
    <row r="75" spans="3:20" ht="12" x14ac:dyDescent="0.2">
      <c r="C75" s="145" t="str">
        <f t="shared" si="7"/>
        <v>Paquetre 725Residencial</v>
      </c>
      <c r="D75" s="93">
        <f t="shared" si="8"/>
        <v>9</v>
      </c>
      <c r="E75" s="146" t="str">
        <v>Paquetre 725</v>
      </c>
      <c r="F75" s="146" t="str">
        <f t="shared" si="5"/>
        <v>Residencial</v>
      </c>
      <c r="G75" s="146" t="str">
        <f t="shared" si="5"/>
        <v>Telefonía fija + Internet fijo</v>
      </c>
      <c r="H75" s="19" t="s">
        <v>298</v>
      </c>
      <c r="I75" s="156"/>
      <c r="J75" s="156"/>
      <c r="K75" s="156"/>
      <c r="L75" s="156"/>
      <c r="M75" s="156"/>
      <c r="N75" s="156"/>
      <c r="O75" s="157">
        <f t="shared" si="6"/>
        <v>8246.0369902361435</v>
      </c>
      <c r="P75" s="157">
        <f t="shared" si="6"/>
        <v>23963.717037586928</v>
      </c>
      <c r="Q75" s="158"/>
      <c r="T75" s="101"/>
    </row>
    <row r="76" spans="3:20" ht="12" x14ac:dyDescent="0.2">
      <c r="C76" s="145" t="str">
        <f t="shared" si="7"/>
        <v>Paquete Infinitum 999Residencial</v>
      </c>
      <c r="D76" s="93">
        <f t="shared" si="8"/>
        <v>10</v>
      </c>
      <c r="E76" s="146" t="str">
        <v>Paquete Infinitum 999</v>
      </c>
      <c r="F76" s="146" t="str">
        <f t="shared" si="5"/>
        <v>Residencial</v>
      </c>
      <c r="G76" s="146" t="str">
        <f t="shared" si="5"/>
        <v>Telefonía fija + Internet fijo</v>
      </c>
      <c r="H76" s="19" t="s">
        <v>298</v>
      </c>
      <c r="I76" s="156"/>
      <c r="J76" s="156"/>
      <c r="K76" s="156"/>
      <c r="L76" s="156"/>
      <c r="M76" s="156"/>
      <c r="N76" s="156"/>
      <c r="O76" s="157">
        <f t="shared" si="6"/>
        <v>50426.418325166429</v>
      </c>
      <c r="P76" s="157">
        <f t="shared" si="6"/>
        <v>57894.571026927151</v>
      </c>
      <c r="Q76" s="158"/>
      <c r="T76" s="101"/>
    </row>
    <row r="77" spans="3:20" ht="12" x14ac:dyDescent="0.2">
      <c r="C77" s="145" t="str">
        <f t="shared" si="7"/>
        <v>Paquete 1399Residencial</v>
      </c>
      <c r="D77" s="93">
        <f t="shared" si="8"/>
        <v>11</v>
      </c>
      <c r="E77" s="146" t="str">
        <v>Paquete 1399</v>
      </c>
      <c r="F77" s="146" t="str">
        <f t="shared" si="5"/>
        <v>Residencial</v>
      </c>
      <c r="G77" s="146" t="str">
        <f t="shared" si="5"/>
        <v>Telefonía fija + Internet fijo</v>
      </c>
      <c r="H77" s="19" t="s">
        <v>298</v>
      </c>
      <c r="I77" s="156"/>
      <c r="J77" s="156"/>
      <c r="K77" s="156"/>
      <c r="L77" s="156"/>
      <c r="M77" s="156"/>
      <c r="N77" s="156"/>
      <c r="O77" s="157">
        <f t="shared" si="6"/>
        <v>16300.123888325437</v>
      </c>
      <c r="P77" s="157">
        <f t="shared" si="6"/>
        <v>15868.27424292063</v>
      </c>
      <c r="Q77" s="158"/>
      <c r="T77" s="101"/>
    </row>
    <row r="78" spans="3:20" ht="12" x14ac:dyDescent="0.2">
      <c r="C78" s="145" t="str">
        <f t="shared" si="7"/>
        <v>Infinitum 279Residencial</v>
      </c>
      <c r="D78" s="93">
        <f t="shared" si="8"/>
        <v>12</v>
      </c>
      <c r="E78" s="146" t="str">
        <v>Infinitum 279</v>
      </c>
      <c r="F78" s="146" t="str">
        <f t="shared" si="5"/>
        <v>Residencial</v>
      </c>
      <c r="G78" s="146" t="str">
        <f t="shared" si="5"/>
        <v>Internet fijo</v>
      </c>
      <c r="H78" s="19" t="s">
        <v>298</v>
      </c>
      <c r="I78" s="156"/>
      <c r="J78" s="156"/>
      <c r="K78" s="156"/>
      <c r="L78" s="156"/>
      <c r="M78" s="156"/>
      <c r="N78" s="156"/>
      <c r="O78" s="157">
        <f t="shared" si="6"/>
        <v>20592.510111808377</v>
      </c>
      <c r="P78" s="157">
        <f t="shared" si="6"/>
        <v>15775.055100331336</v>
      </c>
      <c r="Q78" s="158"/>
      <c r="T78" s="101"/>
    </row>
    <row r="79" spans="3:20" ht="12" x14ac:dyDescent="0.2">
      <c r="C79" s="145" t="str">
        <f t="shared" si="7"/>
        <v>Infinitum 299 RResidencial</v>
      </c>
      <c r="D79" s="93">
        <f t="shared" si="8"/>
        <v>13</v>
      </c>
      <c r="E79" s="146" t="str">
        <v>Infinitum 299 R</v>
      </c>
      <c r="F79" s="146" t="str">
        <f t="shared" si="5"/>
        <v>Residencial</v>
      </c>
      <c r="G79" s="146" t="str">
        <f t="shared" si="5"/>
        <v>Internet fijo</v>
      </c>
      <c r="H79" s="19" t="s">
        <v>298</v>
      </c>
      <c r="I79" s="156"/>
      <c r="J79" s="156"/>
      <c r="K79" s="156"/>
      <c r="L79" s="156"/>
      <c r="M79" s="156"/>
      <c r="N79" s="156"/>
      <c r="O79" s="157">
        <f t="shared" si="6"/>
        <v>92.066560034235422</v>
      </c>
      <c r="P79" s="157">
        <f t="shared" si="6"/>
        <v>148.05393234770156</v>
      </c>
      <c r="Q79" s="158"/>
      <c r="T79" s="101"/>
    </row>
    <row r="80" spans="3:20" ht="12" x14ac:dyDescent="0.2">
      <c r="C80" s="145" t="str">
        <f t="shared" si="7"/>
        <v>Infinitum 349Residencial</v>
      </c>
      <c r="D80" s="93">
        <f t="shared" si="8"/>
        <v>14</v>
      </c>
      <c r="E80" s="146" t="str">
        <v>Infinitum 349</v>
      </c>
      <c r="F80" s="146" t="str">
        <f t="shared" si="5"/>
        <v>Residencial</v>
      </c>
      <c r="G80" s="146" t="str">
        <f t="shared" si="5"/>
        <v>Internet fijo</v>
      </c>
      <c r="H80" s="19" t="s">
        <v>298</v>
      </c>
      <c r="I80" s="156"/>
      <c r="J80" s="156"/>
      <c r="K80" s="156"/>
      <c r="L80" s="156"/>
      <c r="M80" s="156"/>
      <c r="N80" s="156"/>
      <c r="O80" s="157">
        <f t="shared" si="6"/>
        <v>1950700.1941382084</v>
      </c>
      <c r="P80" s="157">
        <f t="shared" si="6"/>
        <v>2386658.6346661537</v>
      </c>
      <c r="Q80" s="158"/>
      <c r="T80" s="101"/>
    </row>
    <row r="81" spans="3:20" ht="12" x14ac:dyDescent="0.2">
      <c r="C81" s="145" t="str">
        <f t="shared" si="7"/>
        <v>Infinitum 399Residencial</v>
      </c>
      <c r="D81" s="93">
        <f t="shared" si="8"/>
        <v>15</v>
      </c>
      <c r="E81" s="146" t="str">
        <v>Infinitum 399</v>
      </c>
      <c r="F81" s="146" t="str">
        <f t="shared" si="5"/>
        <v>Residencial</v>
      </c>
      <c r="G81" s="146" t="str">
        <f t="shared" si="5"/>
        <v>Internet fijo</v>
      </c>
      <c r="H81" s="19" t="s">
        <v>298</v>
      </c>
      <c r="I81" s="156"/>
      <c r="J81" s="156"/>
      <c r="K81" s="156"/>
      <c r="L81" s="156"/>
      <c r="M81" s="156"/>
      <c r="N81" s="156"/>
      <c r="O81" s="157">
        <f t="shared" si="6"/>
        <v>140505.73034658743</v>
      </c>
      <c r="P81" s="157">
        <f t="shared" si="6"/>
        <v>216196.21166731251</v>
      </c>
      <c r="Q81" s="158"/>
      <c r="T81" s="101"/>
    </row>
    <row r="82" spans="3:20" ht="12" x14ac:dyDescent="0.2">
      <c r="C82" s="145" t="str">
        <f t="shared" si="7"/>
        <v>Infinitum 449Residencial</v>
      </c>
      <c r="D82" s="93">
        <f t="shared" si="8"/>
        <v>16</v>
      </c>
      <c r="E82" s="146" t="str">
        <v>Infinitum 449</v>
      </c>
      <c r="F82" s="146" t="str">
        <f t="shared" si="5"/>
        <v>Residencial</v>
      </c>
      <c r="G82" s="146" t="str">
        <f t="shared" si="5"/>
        <v>Internet fijo</v>
      </c>
      <c r="H82" s="19" t="s">
        <v>298</v>
      </c>
      <c r="I82" s="156"/>
      <c r="J82" s="156"/>
      <c r="K82" s="156"/>
      <c r="L82" s="156"/>
      <c r="M82" s="156"/>
      <c r="N82" s="156"/>
      <c r="O82" s="157">
        <f t="shared" si="6"/>
        <v>204360.83814995491</v>
      </c>
      <c r="P82" s="157">
        <f t="shared" si="6"/>
        <v>198184.81105800078</v>
      </c>
      <c r="Q82" s="158"/>
      <c r="T82" s="101"/>
    </row>
    <row r="83" spans="3:20" ht="12" x14ac:dyDescent="0.2">
      <c r="C83" s="145" t="str">
        <f t="shared" si="7"/>
        <v>Infinitum 499Residencial</v>
      </c>
      <c r="D83" s="93">
        <f t="shared" si="8"/>
        <v>17</v>
      </c>
      <c r="E83" s="146" t="str">
        <v>Infinitum 499</v>
      </c>
      <c r="F83" s="146" t="str">
        <f t="shared" si="5"/>
        <v>Residencial</v>
      </c>
      <c r="G83" s="146" t="str">
        <f t="shared" si="5"/>
        <v>Internet fijo</v>
      </c>
      <c r="H83" s="19" t="s">
        <v>298</v>
      </c>
      <c r="I83" s="156"/>
      <c r="J83" s="156"/>
      <c r="K83" s="156"/>
      <c r="L83" s="156"/>
      <c r="M83" s="156"/>
      <c r="N83" s="156"/>
      <c r="O83" s="157">
        <f t="shared" si="6"/>
        <v>12616.592934502867</v>
      </c>
      <c r="P83" s="157">
        <f t="shared" si="6"/>
        <v>22779.285578805317</v>
      </c>
      <c r="Q83" s="158"/>
      <c r="T83" s="101"/>
    </row>
    <row r="84" spans="3:20" ht="12" x14ac:dyDescent="0.2">
      <c r="C84" s="145" t="str">
        <f t="shared" si="7"/>
        <v>Infinitum 549Residencial</v>
      </c>
      <c r="D84" s="93">
        <f t="shared" si="8"/>
        <v>18</v>
      </c>
      <c r="E84" s="146" t="str">
        <v>Infinitum 549</v>
      </c>
      <c r="F84" s="146" t="str">
        <f t="shared" si="5"/>
        <v>Residencial</v>
      </c>
      <c r="G84" s="146" t="str">
        <f t="shared" si="5"/>
        <v>Internet fijo</v>
      </c>
      <c r="H84" s="19" t="s">
        <v>298</v>
      </c>
      <c r="I84" s="156"/>
      <c r="J84" s="156"/>
      <c r="K84" s="156"/>
      <c r="L84" s="156"/>
      <c r="M84" s="156"/>
      <c r="N84" s="156"/>
      <c r="O84" s="157">
        <f t="shared" si="6"/>
        <v>117314.51129494476</v>
      </c>
      <c r="P84" s="157">
        <f t="shared" si="6"/>
        <v>207159.4383151269</v>
      </c>
      <c r="Q84" s="158"/>
      <c r="T84" s="101"/>
    </row>
    <row r="85" spans="3:20" ht="12" x14ac:dyDescent="0.2">
      <c r="C85" s="145" t="str">
        <f t="shared" si="7"/>
        <v>Infinitum 649Residencial</v>
      </c>
      <c r="D85" s="93">
        <f t="shared" si="8"/>
        <v>19</v>
      </c>
      <c r="E85" s="146" t="str">
        <v>Infinitum 649</v>
      </c>
      <c r="F85" s="146" t="str">
        <f t="shared" si="5"/>
        <v>Residencial</v>
      </c>
      <c r="G85" s="146" t="str">
        <f t="shared" si="5"/>
        <v>Internet fijo</v>
      </c>
      <c r="H85" s="19" t="s">
        <v>298</v>
      </c>
      <c r="I85" s="156"/>
      <c r="J85" s="156"/>
      <c r="K85" s="156"/>
      <c r="L85" s="156"/>
      <c r="M85" s="156"/>
      <c r="N85" s="156"/>
      <c r="O85" s="157">
        <f t="shared" si="6"/>
        <v>10491.245081637073</v>
      </c>
      <c r="P85" s="157">
        <f t="shared" si="6"/>
        <v>19637.252125648542</v>
      </c>
      <c r="Q85" s="158"/>
      <c r="T85" s="101"/>
    </row>
    <row r="86" spans="3:20" ht="12" x14ac:dyDescent="0.2">
      <c r="C86" s="145" t="str">
        <f t="shared" si="7"/>
        <v>Infinitum 899Residencial</v>
      </c>
      <c r="D86" s="93">
        <f t="shared" si="8"/>
        <v>20</v>
      </c>
      <c r="E86" s="146" t="str">
        <v>Infinitum 899</v>
      </c>
      <c r="F86" s="146" t="str">
        <f t="shared" si="5"/>
        <v>Residencial</v>
      </c>
      <c r="G86" s="146" t="str">
        <f t="shared" si="5"/>
        <v>Internet fijo</v>
      </c>
      <c r="H86" s="19" t="s">
        <v>298</v>
      </c>
      <c r="I86" s="156"/>
      <c r="J86" s="156"/>
      <c r="K86" s="156"/>
      <c r="L86" s="156"/>
      <c r="M86" s="156"/>
      <c r="N86" s="156"/>
      <c r="O86" s="157">
        <f t="shared" si="6"/>
        <v>16803.01575870112</v>
      </c>
      <c r="P86" s="157">
        <f t="shared" si="6"/>
        <v>17127.646581038734</v>
      </c>
      <c r="Q86" s="158"/>
      <c r="T86" s="101"/>
    </row>
    <row r="87" spans="3:20" ht="12" x14ac:dyDescent="0.2">
      <c r="C87" s="145" t="str">
        <f t="shared" si="7"/>
        <v>Paquete Conectes NegocioNo residencial</v>
      </c>
      <c r="D87" s="93">
        <f t="shared" si="8"/>
        <v>21</v>
      </c>
      <c r="E87" s="146" t="str">
        <v>Paquete Conectes Negocio</v>
      </c>
      <c r="F87" s="146" t="str">
        <f t="shared" ref="F87:G100" si="9">F41</f>
        <v>No residencial</v>
      </c>
      <c r="G87" s="146" t="str">
        <f t="shared" si="9"/>
        <v>Telefonía fija + Internet fijo</v>
      </c>
      <c r="H87" s="19" t="s">
        <v>298</v>
      </c>
      <c r="I87" s="156"/>
      <c r="J87" s="156"/>
      <c r="K87" s="156"/>
      <c r="L87" s="156"/>
      <c r="M87" s="156"/>
      <c r="N87" s="156"/>
      <c r="O87" s="157">
        <f t="shared" ref="O87:P100" si="10">IFERROR(O$10*O41,"")</f>
        <v>651030.4396805797</v>
      </c>
      <c r="P87" s="157">
        <f t="shared" si="10"/>
        <v>499011.20941211493</v>
      </c>
      <c r="Q87" s="158"/>
      <c r="T87" s="101"/>
    </row>
    <row r="88" spans="3:20" ht="12" x14ac:dyDescent="0.2">
      <c r="C88" s="145" t="str">
        <f t="shared" si="7"/>
        <v>Paquete Mi NegocioNo residencial</v>
      </c>
      <c r="D88" s="93">
        <f t="shared" si="8"/>
        <v>22</v>
      </c>
      <c r="E88" s="146" t="str">
        <v>Paquete Mi Negocio</v>
      </c>
      <c r="F88" s="146" t="str">
        <f t="shared" si="9"/>
        <v>No residencial</v>
      </c>
      <c r="G88" s="146" t="str">
        <f t="shared" si="9"/>
        <v>Telefonía fija + Internet fijo</v>
      </c>
      <c r="H88" s="19" t="s">
        <v>298</v>
      </c>
      <c r="I88" s="156"/>
      <c r="J88" s="156"/>
      <c r="K88" s="156"/>
      <c r="L88" s="156"/>
      <c r="M88" s="156"/>
      <c r="N88" s="156"/>
      <c r="O88" s="157">
        <f t="shared" si="10"/>
        <v>304830.64316844719</v>
      </c>
      <c r="P88" s="157">
        <f t="shared" si="10"/>
        <v>294174.93835641921</v>
      </c>
      <c r="Q88" s="158"/>
      <c r="T88" s="101"/>
    </row>
    <row r="89" spans="3:20" ht="12" x14ac:dyDescent="0.2">
      <c r="C89" s="145" t="str">
        <f t="shared" si="7"/>
        <v>Paquete Negocio 649No residencial</v>
      </c>
      <c r="D89" s="93">
        <f t="shared" si="8"/>
        <v>23</v>
      </c>
      <c r="E89" s="146" t="str">
        <v>Paquete Negocio 649</v>
      </c>
      <c r="F89" s="146" t="str">
        <f t="shared" si="9"/>
        <v>No residencial</v>
      </c>
      <c r="G89" s="146" t="str">
        <f t="shared" si="9"/>
        <v>Telefonía fija + Internet fijo</v>
      </c>
      <c r="H89" s="19" t="s">
        <v>298</v>
      </c>
      <c r="I89" s="156"/>
      <c r="J89" s="156"/>
      <c r="K89" s="156"/>
      <c r="L89" s="156"/>
      <c r="M89" s="156"/>
      <c r="N89" s="156"/>
      <c r="O89" s="157">
        <f t="shared" si="10"/>
        <v>17133.934243352476</v>
      </c>
      <c r="P89" s="157">
        <f t="shared" si="10"/>
        <v>26250.327770512544</v>
      </c>
      <c r="Q89" s="158"/>
      <c r="T89" s="101"/>
    </row>
    <row r="90" spans="3:20" ht="12" x14ac:dyDescent="0.2">
      <c r="C90" s="145" t="str">
        <f t="shared" si="7"/>
        <v>Paquete SupernegocioNo residencial</v>
      </c>
      <c r="D90" s="93">
        <f t="shared" si="8"/>
        <v>24</v>
      </c>
      <c r="E90" s="146" t="str">
        <v>Paquete Supernegocio</v>
      </c>
      <c r="F90" s="146" t="str">
        <f t="shared" si="9"/>
        <v>No residencial</v>
      </c>
      <c r="G90" s="146" t="str">
        <f t="shared" si="9"/>
        <v>Telefonía fija + Internet fijo</v>
      </c>
      <c r="H90" s="19" t="s">
        <v>298</v>
      </c>
      <c r="I90" s="156"/>
      <c r="J90" s="156"/>
      <c r="K90" s="156"/>
      <c r="L90" s="156"/>
      <c r="M90" s="156"/>
      <c r="N90" s="156"/>
      <c r="O90" s="157">
        <f t="shared" si="10"/>
        <v>199763.59001541522</v>
      </c>
      <c r="P90" s="157">
        <f t="shared" si="10"/>
        <v>222913.47341271749</v>
      </c>
      <c r="Q90" s="158"/>
      <c r="T90" s="101"/>
    </row>
    <row r="91" spans="3:20" ht="12" x14ac:dyDescent="0.2">
      <c r="C91" s="145" t="str">
        <f t="shared" si="7"/>
        <v>Paquete Negocio 999No residencial</v>
      </c>
      <c r="D91" s="93">
        <f t="shared" si="8"/>
        <v>25</v>
      </c>
      <c r="E91" s="146" t="str">
        <v>Paquete Negocio 999</v>
      </c>
      <c r="F91" s="146" t="str">
        <f t="shared" si="9"/>
        <v>No residencial</v>
      </c>
      <c r="G91" s="146" t="str">
        <f t="shared" si="9"/>
        <v>Telefonía fija + Internet fijo</v>
      </c>
      <c r="H91" s="19" t="s">
        <v>298</v>
      </c>
      <c r="I91" s="156"/>
      <c r="J91" s="156"/>
      <c r="K91" s="156"/>
      <c r="L91" s="156"/>
      <c r="M91" s="156"/>
      <c r="N91" s="156"/>
      <c r="O91" s="157">
        <f t="shared" si="10"/>
        <v>7101.2848569802736</v>
      </c>
      <c r="P91" s="157">
        <f t="shared" si="10"/>
        <v>7442.9087965412436</v>
      </c>
      <c r="Q91" s="158"/>
      <c r="T91" s="101"/>
    </row>
    <row r="92" spans="3:20" ht="12" x14ac:dyDescent="0.2">
      <c r="C92" s="145" t="str">
        <f t="shared" si="7"/>
        <v>Paquete Telmex Negocio Ilimitado 1No residencial</v>
      </c>
      <c r="D92" s="93">
        <f t="shared" si="8"/>
        <v>26</v>
      </c>
      <c r="E92" s="146" t="str">
        <v>Paquete Telmex Negocio Ilimitado 1</v>
      </c>
      <c r="F92" s="146" t="str">
        <f t="shared" si="9"/>
        <v>No residencial</v>
      </c>
      <c r="G92" s="146" t="str">
        <f t="shared" si="9"/>
        <v>Telefonía fija + Internet fijo</v>
      </c>
      <c r="H92" s="19" t="s">
        <v>298</v>
      </c>
      <c r="I92" s="156"/>
      <c r="J92" s="156"/>
      <c r="K92" s="156"/>
      <c r="L92" s="156"/>
      <c r="M92" s="156"/>
      <c r="N92" s="156"/>
      <c r="O92" s="157">
        <f t="shared" si="10"/>
        <v>41092.08511112936</v>
      </c>
      <c r="P92" s="157">
        <f t="shared" si="10"/>
        <v>55225.030678855321</v>
      </c>
      <c r="Q92" s="158"/>
      <c r="T92" s="101"/>
    </row>
    <row r="93" spans="3:20" ht="12" x14ac:dyDescent="0.2">
      <c r="C93" s="145" t="str">
        <f t="shared" si="7"/>
        <v>Paquete Telmex Negocio Ilimitado 2No residencial</v>
      </c>
      <c r="D93" s="93">
        <f t="shared" si="8"/>
        <v>27</v>
      </c>
      <c r="E93" s="146" t="str">
        <v>Paquete Telmex Negocio Ilimitado 2</v>
      </c>
      <c r="F93" s="146" t="str">
        <f t="shared" si="9"/>
        <v>No residencial</v>
      </c>
      <c r="G93" s="146" t="str">
        <f t="shared" si="9"/>
        <v>Telefonía fija + Internet fijo</v>
      </c>
      <c r="H93" s="19" t="s">
        <v>298</v>
      </c>
      <c r="I93" s="156"/>
      <c r="J93" s="156"/>
      <c r="K93" s="156"/>
      <c r="L93" s="156"/>
      <c r="M93" s="156"/>
      <c r="N93" s="156"/>
      <c r="O93" s="157">
        <f t="shared" si="10"/>
        <v>17544.759553693922</v>
      </c>
      <c r="P93" s="157">
        <f t="shared" si="10"/>
        <v>16650.583910140584</v>
      </c>
      <c r="Q93" s="158"/>
      <c r="T93" s="101"/>
    </row>
    <row r="94" spans="3:20" ht="12" x14ac:dyDescent="0.2">
      <c r="C94" s="145" t="str">
        <f t="shared" si="7"/>
        <v>Paquete Telmex Negocio Ilimitado 3No residencial</v>
      </c>
      <c r="D94" s="93">
        <f t="shared" si="8"/>
        <v>28</v>
      </c>
      <c r="E94" s="146" t="str">
        <v>Paquete Telmex Negocio Ilimitado 3</v>
      </c>
      <c r="F94" s="146" t="str">
        <f t="shared" si="9"/>
        <v>No residencial</v>
      </c>
      <c r="G94" s="146" t="str">
        <f t="shared" si="9"/>
        <v>Telefonía fija + Internet fijo</v>
      </c>
      <c r="H94" s="19" t="s">
        <v>298</v>
      </c>
      <c r="I94" s="156"/>
      <c r="J94" s="156"/>
      <c r="K94" s="156"/>
      <c r="L94" s="156"/>
      <c r="M94" s="156"/>
      <c r="N94" s="156"/>
      <c r="O94" s="157">
        <f t="shared" si="10"/>
        <v>18296.925978124564</v>
      </c>
      <c r="P94" s="157">
        <f t="shared" si="10"/>
        <v>21855.319371376139</v>
      </c>
      <c r="Q94" s="158"/>
      <c r="T94" s="101"/>
    </row>
    <row r="95" spans="3:20" ht="12" x14ac:dyDescent="0.2">
      <c r="C95" s="145" t="str">
        <f t="shared" si="7"/>
        <v>Infinitum 299 NNo residencial</v>
      </c>
      <c r="D95" s="93">
        <f t="shared" si="8"/>
        <v>29</v>
      </c>
      <c r="E95" s="146" t="str">
        <v>Infinitum 299 N</v>
      </c>
      <c r="F95" s="146" t="str">
        <f t="shared" si="9"/>
        <v>No residencial</v>
      </c>
      <c r="G95" s="146" t="str">
        <f t="shared" si="9"/>
        <v>Internet fijo</v>
      </c>
      <c r="H95" s="19" t="s">
        <v>298</v>
      </c>
      <c r="I95" s="156"/>
      <c r="J95" s="156"/>
      <c r="K95" s="156"/>
      <c r="L95" s="156"/>
      <c r="M95" s="156"/>
      <c r="N95" s="156"/>
      <c r="O95" s="157">
        <f t="shared" si="10"/>
        <v>1487.8303522513706</v>
      </c>
      <c r="P95" s="157">
        <f t="shared" si="10"/>
        <v>3210.5769403547874</v>
      </c>
      <c r="Q95" s="158"/>
      <c r="T95" s="101"/>
    </row>
    <row r="96" spans="3:20" ht="12" x14ac:dyDescent="0.2">
      <c r="C96" s="145" t="str">
        <f t="shared" si="7"/>
        <v>Infinitum Negocio 349No residencial</v>
      </c>
      <c r="D96" s="93">
        <f t="shared" si="8"/>
        <v>30</v>
      </c>
      <c r="E96" s="146" t="str">
        <v>Infinitum Negocio 349</v>
      </c>
      <c r="F96" s="146" t="str">
        <f t="shared" si="9"/>
        <v>No residencial</v>
      </c>
      <c r="G96" s="146" t="str">
        <f t="shared" si="9"/>
        <v>Internet fijo</v>
      </c>
      <c r="H96" s="19" t="s">
        <v>298</v>
      </c>
      <c r="I96" s="156"/>
      <c r="J96" s="156"/>
      <c r="K96" s="156"/>
      <c r="L96" s="156"/>
      <c r="M96" s="156"/>
      <c r="N96" s="156"/>
      <c r="O96" s="157">
        <f t="shared" si="10"/>
        <v>149668.95872735331</v>
      </c>
      <c r="P96" s="157">
        <f t="shared" si="10"/>
        <v>136559.64650117661</v>
      </c>
      <c r="Q96" s="158"/>
      <c r="T96" s="101"/>
    </row>
    <row r="97" spans="2:55" ht="12" x14ac:dyDescent="0.2">
      <c r="C97" s="145" t="str">
        <f t="shared" si="7"/>
        <v>Infinitum Negocio 399No residencial</v>
      </c>
      <c r="D97" s="93">
        <f t="shared" si="8"/>
        <v>31</v>
      </c>
      <c r="E97" s="146" t="str">
        <v>Infinitum Negocio 399</v>
      </c>
      <c r="F97" s="146" t="str">
        <f t="shared" si="9"/>
        <v>No residencial</v>
      </c>
      <c r="G97" s="146" t="str">
        <f t="shared" si="9"/>
        <v>Internet fijo</v>
      </c>
      <c r="H97" s="19" t="s">
        <v>298</v>
      </c>
      <c r="I97" s="156"/>
      <c r="J97" s="156"/>
      <c r="K97" s="156"/>
      <c r="L97" s="156"/>
      <c r="M97" s="156"/>
      <c r="N97" s="156"/>
      <c r="O97" s="157">
        <f t="shared" si="10"/>
        <v>21605.242272184969</v>
      </c>
      <c r="P97" s="157">
        <f t="shared" si="10"/>
        <v>33437.340881514545</v>
      </c>
      <c r="Q97" s="158"/>
      <c r="T97" s="101"/>
    </row>
    <row r="98" spans="2:55" ht="12" x14ac:dyDescent="0.2">
      <c r="C98" s="145" t="str">
        <f t="shared" si="7"/>
        <v>Infinitum Negocio 449No residencial</v>
      </c>
      <c r="D98" s="93">
        <f t="shared" si="8"/>
        <v>32</v>
      </c>
      <c r="E98" s="146" t="str">
        <v>Infinitum Negocio 449</v>
      </c>
      <c r="F98" s="146" t="str">
        <f t="shared" si="9"/>
        <v>No residencial</v>
      </c>
      <c r="G98" s="146" t="str">
        <f t="shared" si="9"/>
        <v>Internet fijo</v>
      </c>
      <c r="H98" s="19" t="s">
        <v>298</v>
      </c>
      <c r="I98" s="156"/>
      <c r="J98" s="156"/>
      <c r="K98" s="156"/>
      <c r="L98" s="156"/>
      <c r="M98" s="156"/>
      <c r="N98" s="156"/>
      <c r="O98" s="157">
        <f t="shared" si="10"/>
        <v>18144.929298822761</v>
      </c>
      <c r="P98" s="157">
        <f t="shared" si="10"/>
        <v>13684.021784210712</v>
      </c>
      <c r="Q98" s="158"/>
      <c r="T98" s="101"/>
    </row>
    <row r="99" spans="2:55" ht="12" x14ac:dyDescent="0.2">
      <c r="C99" s="145" t="str">
        <f t="shared" si="7"/>
        <v>Infinitum Negocio 499No residencial</v>
      </c>
      <c r="D99" s="93">
        <f t="shared" si="8"/>
        <v>33</v>
      </c>
      <c r="E99" s="146" t="str">
        <v>Infinitum Negocio 499</v>
      </c>
      <c r="F99" s="146" t="str">
        <f t="shared" si="9"/>
        <v>No residencial</v>
      </c>
      <c r="G99" s="146" t="str">
        <f t="shared" si="9"/>
        <v>Internet fijo</v>
      </c>
      <c r="H99" s="19" t="s">
        <v>298</v>
      </c>
      <c r="I99" s="156"/>
      <c r="J99" s="156"/>
      <c r="K99" s="156"/>
      <c r="L99" s="156"/>
      <c r="M99" s="156"/>
      <c r="N99" s="156"/>
      <c r="O99" s="157">
        <f t="shared" si="10"/>
        <v>742.61234744595561</v>
      </c>
      <c r="P99" s="157">
        <f t="shared" si="10"/>
        <v>5779.5868405362016</v>
      </c>
      <c r="Q99" s="158"/>
      <c r="T99" s="101"/>
    </row>
    <row r="100" spans="2:55" ht="12" x14ac:dyDescent="0.2">
      <c r="C100" s="145" t="str">
        <f t="shared" si="7"/>
        <v>Infinitum Negocio 549No residencial</v>
      </c>
      <c r="D100" s="93">
        <f t="shared" si="8"/>
        <v>34</v>
      </c>
      <c r="E100" s="146" t="str">
        <v>Infinitum Negocio 549</v>
      </c>
      <c r="F100" s="146" t="str">
        <f t="shared" si="9"/>
        <v>No residencial</v>
      </c>
      <c r="G100" s="146" t="str">
        <f t="shared" si="9"/>
        <v>Internet fijo</v>
      </c>
      <c r="H100" s="19" t="s">
        <v>298</v>
      </c>
      <c r="I100" s="156"/>
      <c r="J100" s="156"/>
      <c r="K100" s="156"/>
      <c r="L100" s="156"/>
      <c r="M100" s="156"/>
      <c r="N100" s="156"/>
      <c r="O100" s="157">
        <f t="shared" si="10"/>
        <v>19763.911071500257</v>
      </c>
      <c r="P100" s="157">
        <f t="shared" si="10"/>
        <v>26273.175599578546</v>
      </c>
      <c r="Q100" s="158"/>
      <c r="T100" s="101"/>
    </row>
    <row r="101" spans="2:55" ht="12" x14ac:dyDescent="0.2">
      <c r="C101" s="145" t="str">
        <f t="shared" si="7"/>
        <v>Infinitum Negocio 649No residencial</v>
      </c>
      <c r="D101" s="93">
        <f t="shared" si="8"/>
        <v>35</v>
      </c>
      <c r="E101" s="146" t="str">
        <v>Infinitum Negocio 649</v>
      </c>
      <c r="F101" s="146" t="str">
        <f t="shared" ref="F101:G105" si="11">F55</f>
        <v>No residencial</v>
      </c>
      <c r="G101" s="146" t="str">
        <f t="shared" si="11"/>
        <v>Internet fijo</v>
      </c>
      <c r="H101" s="19" t="s">
        <v>298</v>
      </c>
      <c r="I101" s="156"/>
      <c r="J101" s="156"/>
      <c r="K101" s="156"/>
      <c r="L101" s="156"/>
      <c r="M101" s="156"/>
      <c r="N101" s="156"/>
      <c r="O101" s="157">
        <f t="shared" ref="O101:P105" si="12">IFERROR(O$10*O55,"")</f>
        <v>1247.2413227279442</v>
      </c>
      <c r="P101" s="157">
        <f t="shared" si="12"/>
        <v>4766.9710563309345</v>
      </c>
      <c r="Q101" s="511"/>
      <c r="T101" s="101"/>
    </row>
    <row r="102" spans="2:55" ht="12" x14ac:dyDescent="0.2">
      <c r="C102" s="145" t="str">
        <f t="shared" si="7"/>
        <v>Infinitum Negocio 899No residencial</v>
      </c>
      <c r="D102" s="93">
        <f t="shared" si="8"/>
        <v>36</v>
      </c>
      <c r="E102" s="146" t="str">
        <v>Infinitum Negocio 899</v>
      </c>
      <c r="F102" s="146" t="str">
        <f t="shared" si="11"/>
        <v>No residencial</v>
      </c>
      <c r="G102" s="146" t="str">
        <f t="shared" si="11"/>
        <v>Internet fijo</v>
      </c>
      <c r="H102" s="19" t="s">
        <v>298</v>
      </c>
      <c r="I102" s="156"/>
      <c r="J102" s="156"/>
      <c r="K102" s="156"/>
      <c r="L102" s="156"/>
      <c r="M102" s="156"/>
      <c r="N102" s="156"/>
      <c r="O102" s="157">
        <f t="shared" si="12"/>
        <v>6429.0252582397234</v>
      </c>
      <c r="P102" s="157">
        <f t="shared" si="12"/>
        <v>5980.6477363170316</v>
      </c>
      <c r="Q102" s="511"/>
      <c r="T102" s="101"/>
    </row>
    <row r="103" spans="2:55" ht="12" x14ac:dyDescent="0.2">
      <c r="C103" s="145" t="str">
        <f t="shared" si="7"/>
        <v>Infinitum NegocioNo Residencial</v>
      </c>
      <c r="D103" s="93">
        <f t="shared" si="8"/>
        <v>37</v>
      </c>
      <c r="E103" s="146" t="str">
        <v>Infinitum Negocio</v>
      </c>
      <c r="F103" s="146" t="str">
        <f t="shared" si="11"/>
        <v>No Residencial</v>
      </c>
      <c r="G103" s="146" t="str">
        <f t="shared" si="11"/>
        <v>Internet fijo</v>
      </c>
      <c r="H103" s="19" t="s">
        <v>298</v>
      </c>
      <c r="I103" s="156"/>
      <c r="J103" s="156"/>
      <c r="K103" s="156"/>
      <c r="L103" s="156"/>
      <c r="M103" s="156"/>
      <c r="N103" s="156"/>
      <c r="O103" s="157">
        <f t="shared" si="12"/>
        <v>30064.943165896788</v>
      </c>
      <c r="P103" s="157">
        <f t="shared" si="12"/>
        <v>31514.467587319712</v>
      </c>
      <c r="Q103" s="511"/>
      <c r="T103" s="101"/>
    </row>
    <row r="104" spans="2:55" ht="12" x14ac:dyDescent="0.2">
      <c r="C104" s="145" t="str">
        <f t="shared" si="7"/>
        <v>Infinitum Negocio RedNo Residencial</v>
      </c>
      <c r="D104" s="93">
        <f t="shared" si="8"/>
        <v>38</v>
      </c>
      <c r="E104" s="146" t="str">
        <v>Infinitum Negocio Red</v>
      </c>
      <c r="F104" s="146" t="str">
        <f t="shared" si="11"/>
        <v>No Residencial</v>
      </c>
      <c r="G104" s="146" t="str">
        <f t="shared" si="11"/>
        <v>Internet fijo</v>
      </c>
      <c r="H104" s="19" t="s">
        <v>298</v>
      </c>
      <c r="I104" s="156"/>
      <c r="J104" s="156"/>
      <c r="K104" s="156"/>
      <c r="L104" s="156"/>
      <c r="M104" s="156"/>
      <c r="N104" s="156"/>
      <c r="O104" s="157">
        <f t="shared" si="12"/>
        <v>11045.381546748793</v>
      </c>
      <c r="P104" s="157">
        <f t="shared" si="12"/>
        <v>9488.2464545298626</v>
      </c>
      <c r="Q104" s="511"/>
      <c r="T104" s="101"/>
    </row>
    <row r="105" spans="2:55" ht="12.6" thickBot="1" x14ac:dyDescent="0.25">
      <c r="C105" s="145" t="str">
        <f t="shared" si="7"/>
        <v>Infinitum Negocio PremiumNo Residencial</v>
      </c>
      <c r="D105" s="93">
        <f t="shared" si="8"/>
        <v>39</v>
      </c>
      <c r="E105" s="146" t="str">
        <v>Infinitum Negocio Premium</v>
      </c>
      <c r="F105" s="146" t="str">
        <f t="shared" si="11"/>
        <v>No Residencial</v>
      </c>
      <c r="G105" s="146" t="str">
        <f t="shared" si="11"/>
        <v>Internet fijo</v>
      </c>
      <c r="H105" s="19" t="s">
        <v>298</v>
      </c>
      <c r="I105" s="156"/>
      <c r="J105" s="156"/>
      <c r="K105" s="156"/>
      <c r="L105" s="156"/>
      <c r="M105" s="156"/>
      <c r="N105" s="156"/>
      <c r="O105" s="157">
        <f t="shared" si="12"/>
        <v>11457.075409543393</v>
      </c>
      <c r="P105" s="157">
        <f t="shared" si="12"/>
        <v>8517.6706758060409</v>
      </c>
      <c r="Q105" s="511"/>
      <c r="T105" s="101"/>
    </row>
    <row r="106" spans="2:55" ht="12" x14ac:dyDescent="0.2">
      <c r="E106" s="153"/>
      <c r="F106" s="53"/>
      <c r="G106" s="53"/>
      <c r="H106" s="53"/>
      <c r="I106" s="53"/>
      <c r="J106" s="53"/>
      <c r="K106" s="53"/>
      <c r="L106" s="53"/>
      <c r="M106" s="53"/>
      <c r="N106" s="53"/>
      <c r="O106" s="53"/>
      <c r="P106" s="53"/>
      <c r="Q106" s="53"/>
      <c r="R106" s="154" t="s">
        <v>315</v>
      </c>
      <c r="S106" s="53"/>
      <c r="T106" s="53"/>
    </row>
    <row r="107" spans="2:55" ht="12" x14ac:dyDescent="0.2">
      <c r="C107" s="101"/>
      <c r="D107" s="101"/>
    </row>
    <row r="108" spans="2:55" ht="12" x14ac:dyDescent="0.2">
      <c r="B108" s="99">
        <v>1.3</v>
      </c>
      <c r="C108" s="99" t="s">
        <v>316</v>
      </c>
      <c r="D108" s="99"/>
      <c r="E108" s="76"/>
      <c r="F108" s="76"/>
      <c r="G108" s="76"/>
      <c r="H108" s="76"/>
      <c r="I108" s="76"/>
      <c r="J108" s="76"/>
      <c r="K108" s="76"/>
      <c r="L108" s="76"/>
      <c r="M108" s="76"/>
      <c r="N108" s="76"/>
      <c r="O108" s="76"/>
      <c r="P108" s="76"/>
      <c r="Q108" s="76"/>
      <c r="R108" s="76"/>
      <c r="S108" s="76"/>
      <c r="T108" s="76"/>
      <c r="U108" s="76"/>
      <c r="V108" s="76"/>
      <c r="W108" s="76"/>
      <c r="X108" s="76"/>
      <c r="Y108" s="76"/>
      <c r="Z108" s="76"/>
      <c r="AA108" s="76"/>
      <c r="AB108" s="76"/>
      <c r="AC108" s="76"/>
      <c r="AD108" s="76"/>
      <c r="AE108" s="76"/>
      <c r="AF108" s="76"/>
      <c r="AG108" s="76"/>
      <c r="AH108" s="76"/>
      <c r="AI108" s="76"/>
      <c r="AJ108" s="76"/>
      <c r="AK108" s="76"/>
      <c r="AL108" s="76"/>
      <c r="AM108" s="76"/>
      <c r="AN108" s="76"/>
      <c r="AO108" s="76"/>
      <c r="AP108" s="76"/>
      <c r="AQ108" s="76"/>
      <c r="AR108" s="76"/>
      <c r="AS108" s="76"/>
      <c r="AT108" s="76"/>
      <c r="AU108" s="76"/>
      <c r="AV108" s="76"/>
      <c r="AW108" s="76"/>
      <c r="AX108" s="76"/>
      <c r="AY108" s="76"/>
      <c r="AZ108" s="76"/>
      <c r="BA108" s="76"/>
      <c r="BB108" s="76"/>
      <c r="BC108" s="76"/>
    </row>
    <row r="109" spans="2:55" ht="12" x14ac:dyDescent="0.2">
      <c r="C109" s="101"/>
      <c r="D109" s="101"/>
    </row>
    <row r="110" spans="2:55" ht="12" x14ac:dyDescent="0.2">
      <c r="C110" s="101" t="s">
        <v>317</v>
      </c>
      <c r="D110" s="101"/>
    </row>
    <row r="111" spans="2:55" x14ac:dyDescent="0.2">
      <c r="C111" s="102" t="s">
        <v>318</v>
      </c>
      <c r="D111" s="102"/>
      <c r="H111" s="19" t="s">
        <v>298</v>
      </c>
      <c r="I111" s="156"/>
      <c r="J111" s="156"/>
      <c r="K111" s="156"/>
      <c r="L111" s="156"/>
      <c r="M111" s="156"/>
      <c r="N111" s="156"/>
      <c r="O111" s="159">
        <f>SUMIFS(O67:O105,$F$67:$F$105,"Residencial")</f>
        <v>8960515.1866195612</v>
      </c>
      <c r="P111" s="159">
        <f>SUMIFS(P67:P105,$F$67:$F$105,"Residencial")</f>
        <v>9654703.856233649</v>
      </c>
      <c r="R111" s="82" t="s">
        <v>319</v>
      </c>
    </row>
    <row r="112" spans="2:55" x14ac:dyDescent="0.2">
      <c r="C112" s="102"/>
      <c r="D112" s="102"/>
      <c r="H112" s="19"/>
    </row>
    <row r="113" spans="1:55" x14ac:dyDescent="0.2">
      <c r="C113" s="102" t="s">
        <v>320</v>
      </c>
      <c r="D113" s="102"/>
      <c r="H113" s="19" t="s">
        <v>298</v>
      </c>
      <c r="I113" s="156"/>
      <c r="J113" s="156"/>
      <c r="K113" s="156"/>
      <c r="L113" s="156"/>
      <c r="M113" s="156"/>
      <c r="N113" s="156"/>
      <c r="O113" s="159">
        <f>O111-SUMIFS(O$67:O$105,$F$67:$F$105,"Residencial",$G$67:$G$105,"Internet fijo")</f>
        <v>6487038.4822431821</v>
      </c>
      <c r="P113" s="159">
        <f>P111-SUMIFS(P$67:P$105,$F$67:$F$105,"Residencial",$G$67:$G$105,"Internet fijo")</f>
        <v>6571037.4672088837</v>
      </c>
      <c r="R113" s="82" t="s">
        <v>321</v>
      </c>
    </row>
    <row r="114" spans="1:55" x14ac:dyDescent="0.2">
      <c r="C114" s="102"/>
      <c r="D114" s="102"/>
      <c r="H114" s="19"/>
    </row>
    <row r="115" spans="1:55" x14ac:dyDescent="0.2">
      <c r="C115" s="102" t="s">
        <v>322</v>
      </c>
      <c r="D115" s="102"/>
      <c r="H115" s="19" t="s">
        <v>298</v>
      </c>
      <c r="I115" s="156"/>
      <c r="J115" s="156"/>
      <c r="K115" s="156"/>
      <c r="L115" s="156"/>
      <c r="M115" s="156"/>
      <c r="N115" s="156"/>
      <c r="O115" s="159">
        <f>SUMIFS(O67:O105,$G$67:$G$105,"Internet fijo")</f>
        <v>2745133.8551490945</v>
      </c>
      <c r="P115" s="159">
        <f>SUMIFS(P67:P105,$G$67:$G$105,"Internet fijo")</f>
        <v>3362878.7410824401</v>
      </c>
      <c r="R115" s="82" t="s">
        <v>323</v>
      </c>
    </row>
    <row r="116" spans="1:55" x14ac:dyDescent="0.2">
      <c r="C116" s="102"/>
      <c r="D116" s="102"/>
    </row>
    <row r="117" spans="1:55" x14ac:dyDescent="0.2">
      <c r="C117" s="102" t="s">
        <v>324</v>
      </c>
      <c r="D117" s="102"/>
      <c r="H117" s="19" t="s">
        <v>298</v>
      </c>
      <c r="I117" s="156"/>
      <c r="J117" s="156"/>
      <c r="K117" s="156"/>
      <c r="L117" s="156"/>
      <c r="M117" s="156"/>
      <c r="N117" s="156"/>
      <c r="O117" s="159">
        <f>SUMIFS(O67:O105,$F$67:$F$105,"No Residencial")</f>
        <v>1528450.8133804379</v>
      </c>
      <c r="P117" s="159">
        <f>SUMIFS(P67:P105,$F$67:$F$105,"No Residencial")</f>
        <v>1422736.1437663527</v>
      </c>
      <c r="R117" s="82" t="s">
        <v>325</v>
      </c>
    </row>
    <row r="118" spans="1:55" ht="12" x14ac:dyDescent="0.2">
      <c r="C118" s="101"/>
      <c r="D118" s="101"/>
    </row>
    <row r="119" spans="1:55" x14ac:dyDescent="0.2">
      <c r="K119" s="160"/>
    </row>
    <row r="120" spans="1:55" ht="12" x14ac:dyDescent="0.2">
      <c r="A120" s="99">
        <v>2</v>
      </c>
      <c r="B120" s="99" t="s">
        <v>326</v>
      </c>
      <c r="C120" s="76"/>
      <c r="D120" s="76"/>
      <c r="E120" s="76"/>
      <c r="F120" s="76"/>
      <c r="G120" s="76"/>
      <c r="H120" s="76"/>
      <c r="I120" s="76"/>
      <c r="J120" s="76"/>
      <c r="K120" s="76"/>
      <c r="L120" s="76"/>
      <c r="M120" s="76"/>
      <c r="N120" s="76"/>
      <c r="O120" s="76"/>
      <c r="P120" s="76"/>
      <c r="Q120" s="76"/>
      <c r="R120" s="76"/>
      <c r="S120" s="76"/>
      <c r="T120" s="76"/>
      <c r="U120" s="76"/>
      <c r="V120" s="76"/>
      <c r="W120" s="76"/>
      <c r="X120" s="76"/>
      <c r="Y120" s="76"/>
      <c r="Z120" s="76"/>
      <c r="AA120" s="76"/>
      <c r="AB120" s="76"/>
      <c r="AC120" s="76"/>
      <c r="AD120" s="76"/>
      <c r="AE120" s="76"/>
      <c r="AF120" s="76"/>
      <c r="AG120" s="76"/>
      <c r="AH120" s="76"/>
      <c r="AI120" s="76"/>
      <c r="AJ120" s="76"/>
      <c r="AK120" s="76"/>
      <c r="AL120" s="76"/>
      <c r="AM120" s="76"/>
      <c r="AN120" s="76"/>
      <c r="AO120" s="76"/>
      <c r="AP120" s="76"/>
      <c r="AQ120" s="76"/>
      <c r="AR120" s="76"/>
      <c r="AS120" s="76"/>
      <c r="AT120" s="76"/>
      <c r="AU120" s="76"/>
      <c r="AV120" s="76"/>
      <c r="AW120" s="76"/>
      <c r="AX120" s="76"/>
      <c r="AY120" s="76"/>
      <c r="AZ120" s="76"/>
      <c r="BA120" s="76"/>
      <c r="BB120" s="76"/>
      <c r="BC120" s="76"/>
    </row>
    <row r="122" spans="1:55" ht="12" x14ac:dyDescent="0.2">
      <c r="B122" s="99">
        <v>2.1</v>
      </c>
      <c r="C122" s="99" t="s">
        <v>327</v>
      </c>
      <c r="D122" s="99"/>
      <c r="E122" s="76"/>
      <c r="F122" s="76"/>
      <c r="G122" s="76"/>
      <c r="H122" s="76"/>
      <c r="I122" s="76"/>
      <c r="J122" s="76"/>
      <c r="K122" s="76"/>
      <c r="L122" s="76"/>
      <c r="M122" s="76"/>
      <c r="N122" s="76"/>
      <c r="O122" s="76"/>
      <c r="P122" s="76"/>
      <c r="Q122" s="76"/>
      <c r="R122" s="76"/>
      <c r="S122" s="76"/>
      <c r="T122" s="76"/>
      <c r="U122" s="76"/>
      <c r="V122" s="76"/>
      <c r="W122" s="76"/>
      <c r="X122" s="76"/>
      <c r="Y122" s="76"/>
      <c r="Z122" s="76"/>
      <c r="AA122" s="76"/>
      <c r="AB122" s="76"/>
      <c r="AC122" s="76"/>
      <c r="AD122" s="76"/>
      <c r="AE122" s="76"/>
      <c r="AF122" s="76"/>
      <c r="AG122" s="76"/>
      <c r="AH122" s="76"/>
      <c r="AI122" s="76"/>
      <c r="AJ122" s="76"/>
      <c r="AK122" s="76"/>
      <c r="AL122" s="76"/>
      <c r="AM122" s="76"/>
      <c r="AN122" s="76"/>
      <c r="AO122" s="76"/>
      <c r="AP122" s="76"/>
      <c r="AQ122" s="76"/>
      <c r="AR122" s="76"/>
      <c r="AS122" s="76"/>
      <c r="AT122" s="76"/>
      <c r="AU122" s="76"/>
      <c r="AV122" s="76"/>
      <c r="AW122" s="76"/>
      <c r="AX122" s="76"/>
      <c r="AY122" s="76"/>
      <c r="AZ122" s="76"/>
      <c r="BA122" s="76"/>
      <c r="BB122" s="76"/>
      <c r="BC122" s="76"/>
    </row>
    <row r="124" spans="1:55" ht="12" x14ac:dyDescent="0.2">
      <c r="C124" s="101" t="s">
        <v>328</v>
      </c>
      <c r="D124" s="101"/>
      <c r="L124" s="161"/>
    </row>
    <row r="126" spans="1:55" ht="11.4" customHeight="1" x14ac:dyDescent="0.2">
      <c r="C126" s="102" t="s">
        <v>329</v>
      </c>
      <c r="D126" s="102"/>
      <c r="H126" s="19" t="s">
        <v>330</v>
      </c>
      <c r="I126" s="136"/>
      <c r="J126" s="136"/>
      <c r="K126" s="136"/>
      <c r="L126" s="136"/>
      <c r="M126" s="136"/>
      <c r="N126" s="137">
        <v>28784594</v>
      </c>
      <c r="O126" s="137">
        <v>28787829</v>
      </c>
      <c r="P126" s="137">
        <v>30687520</v>
      </c>
      <c r="R126" t="s">
        <v>331</v>
      </c>
      <c r="T126" t="s">
        <v>300</v>
      </c>
      <c r="Y126" s="130"/>
      <c r="Z126" s="131"/>
      <c r="AA126" s="131"/>
      <c r="AB126" s="131"/>
      <c r="AC126" s="131"/>
      <c r="AD126" s="131"/>
      <c r="AE126" s="131"/>
    </row>
    <row r="127" spans="1:55" x14ac:dyDescent="0.2">
      <c r="H127" s="19"/>
    </row>
    <row r="128" spans="1:55" ht="12" x14ac:dyDescent="0.2">
      <c r="C128" s="101" t="s">
        <v>332</v>
      </c>
      <c r="D128" s="101"/>
      <c r="H128" s="19"/>
    </row>
    <row r="129" spans="2:55" x14ac:dyDescent="0.2">
      <c r="H129" s="19"/>
    </row>
    <row r="130" spans="2:55" ht="12" customHeight="1" x14ac:dyDescent="0.2">
      <c r="C130" s="102" t="s">
        <v>333</v>
      </c>
      <c r="D130" s="102"/>
      <c r="H130" s="19" t="s">
        <v>330</v>
      </c>
      <c r="I130" s="136"/>
      <c r="J130" s="136"/>
      <c r="K130" s="136"/>
      <c r="L130" s="136"/>
      <c r="M130" s="136"/>
      <c r="N130" s="137">
        <v>10115240</v>
      </c>
      <c r="O130" s="137">
        <v>10115240</v>
      </c>
      <c r="P130" s="137">
        <v>10170846</v>
      </c>
      <c r="Q130" s="82" t="s">
        <v>334</v>
      </c>
      <c r="R130" t="s">
        <v>331</v>
      </c>
      <c r="T130" t="s">
        <v>300</v>
      </c>
      <c r="Y130" s="130"/>
      <c r="Z130" s="131"/>
      <c r="AA130" s="131"/>
      <c r="AB130" s="131"/>
      <c r="AC130" s="131"/>
      <c r="AD130" s="131"/>
      <c r="AE130" s="131"/>
    </row>
    <row r="131" spans="2:55" x14ac:dyDescent="0.2">
      <c r="H131" s="19"/>
      <c r="I131" s="162"/>
    </row>
    <row r="132" spans="2:55" ht="12" x14ac:dyDescent="0.2">
      <c r="C132" s="101" t="s">
        <v>303</v>
      </c>
      <c r="D132" s="101"/>
      <c r="H132" s="19"/>
    </row>
    <row r="133" spans="2:55" x14ac:dyDescent="0.2">
      <c r="H133" s="19"/>
    </row>
    <row r="134" spans="2:55" ht="12" x14ac:dyDescent="0.2">
      <c r="C134" s="102" t="s">
        <v>335</v>
      </c>
      <c r="D134" s="102"/>
      <c r="H134" s="19" t="s">
        <v>336</v>
      </c>
      <c r="I134" s="136" t="str">
        <f>IFERROR(I130/I126,"")</f>
        <v/>
      </c>
      <c r="J134" s="136" t="str">
        <f>IFERROR(J130/J126,"")</f>
        <v/>
      </c>
      <c r="K134" s="136"/>
      <c r="L134" s="136"/>
      <c r="M134" s="136"/>
      <c r="N134" s="163">
        <f>IFERROR(N130/N126,"")</f>
        <v>0.35141159190919974</v>
      </c>
      <c r="O134" s="163">
        <f>IFERROR(O130/O126,"")</f>
        <v>0.35137210242564659</v>
      </c>
      <c r="P134" s="163">
        <f>IFERROR(P130/P126,"")</f>
        <v>0.33143264753880403</v>
      </c>
    </row>
    <row r="135" spans="2:55" x14ac:dyDescent="0.2">
      <c r="C135" s="102"/>
      <c r="D135" s="102"/>
      <c r="H135" s="19"/>
    </row>
    <row r="137" spans="2:55" ht="12" x14ac:dyDescent="0.2">
      <c r="B137" s="99">
        <v>2.2000000000000002</v>
      </c>
      <c r="C137" s="99" t="s">
        <v>337</v>
      </c>
      <c r="D137" s="99"/>
      <c r="E137" s="76"/>
      <c r="F137" s="76"/>
      <c r="G137" s="76"/>
      <c r="H137" s="76"/>
      <c r="I137" s="76"/>
      <c r="J137" s="76"/>
      <c r="K137" s="76"/>
      <c r="L137" s="76"/>
      <c r="M137" s="76"/>
      <c r="N137" s="76"/>
      <c r="O137" s="76"/>
      <c r="P137" s="76"/>
      <c r="Q137" s="76"/>
      <c r="R137" s="76"/>
      <c r="S137" s="76"/>
      <c r="T137" s="76"/>
      <c r="U137" s="76"/>
      <c r="V137" s="76"/>
      <c r="W137" s="76"/>
      <c r="X137" s="76"/>
      <c r="Y137" s="76"/>
      <c r="Z137" s="76"/>
      <c r="AA137" s="76"/>
      <c r="AB137" s="76"/>
      <c r="AC137" s="76"/>
      <c r="AD137" s="76"/>
      <c r="AE137" s="76"/>
      <c r="AF137" s="76"/>
      <c r="AG137" s="76"/>
      <c r="AH137" s="76"/>
      <c r="AI137" s="76"/>
      <c r="AJ137" s="76"/>
      <c r="AK137" s="76"/>
      <c r="AL137" s="76"/>
      <c r="AM137" s="76"/>
      <c r="AN137" s="76"/>
      <c r="AO137" s="76"/>
      <c r="AP137" s="76"/>
      <c r="AQ137" s="76"/>
      <c r="AR137" s="76"/>
      <c r="AS137" s="76"/>
      <c r="AT137" s="76"/>
      <c r="AU137" s="76"/>
      <c r="AV137" s="76"/>
      <c r="AW137" s="76"/>
      <c r="AX137" s="76"/>
      <c r="AY137" s="76"/>
      <c r="AZ137" s="76"/>
      <c r="BA137" s="76"/>
      <c r="BB137" s="76"/>
      <c r="BC137" s="76"/>
    </row>
    <row r="140" spans="2:55" ht="12" x14ac:dyDescent="0.2">
      <c r="C140" s="101" t="s">
        <v>338</v>
      </c>
      <c r="D140" s="101"/>
    </row>
    <row r="141" spans="2:55" x14ac:dyDescent="0.2">
      <c r="C141" s="102" t="s">
        <v>301</v>
      </c>
      <c r="D141" s="102"/>
      <c r="H141" s="19" t="s">
        <v>298</v>
      </c>
      <c r="I141" s="164"/>
      <c r="J141" s="164"/>
      <c r="K141" s="164"/>
      <c r="L141" s="164"/>
      <c r="M141" s="164"/>
      <c r="N141" s="164"/>
      <c r="O141" s="164">
        <f>Broadbad.suscriptions.AEP</f>
        <v>10488966</v>
      </c>
      <c r="P141" s="164">
        <f>Broadbad.suscriptions.AEP</f>
        <v>11077440</v>
      </c>
      <c r="Q141" s="19"/>
    </row>
    <row r="142" spans="2:55" x14ac:dyDescent="0.2">
      <c r="C142" s="102"/>
      <c r="D142" s="102"/>
      <c r="H142" s="19"/>
    </row>
    <row r="143" spans="2:55" x14ac:dyDescent="0.2">
      <c r="C143" s="102" t="s">
        <v>333</v>
      </c>
      <c r="D143" s="102"/>
      <c r="H143" s="19" t="s">
        <v>330</v>
      </c>
      <c r="I143" s="164"/>
      <c r="J143" s="164"/>
      <c r="K143" s="164"/>
      <c r="L143" s="164"/>
      <c r="M143" s="164"/>
      <c r="N143" s="164"/>
      <c r="O143" s="164">
        <f>AEP.telephone.lines</f>
        <v>10115240</v>
      </c>
      <c r="P143" s="164">
        <f>AEP.telephone.lines</f>
        <v>10170846</v>
      </c>
      <c r="Q143" s="19"/>
    </row>
    <row r="144" spans="2:55" x14ac:dyDescent="0.2">
      <c r="C144" s="102"/>
      <c r="D144" s="102"/>
      <c r="H144" s="19"/>
    </row>
    <row r="145" spans="2:55" x14ac:dyDescent="0.2">
      <c r="C145" s="102" t="s">
        <v>339</v>
      </c>
      <c r="D145" s="102"/>
      <c r="H145" s="19" t="s">
        <v>298</v>
      </c>
      <c r="I145" s="164"/>
      <c r="J145" s="164"/>
      <c r="K145" s="164"/>
      <c r="L145" s="164"/>
      <c r="M145" s="164"/>
      <c r="N145" s="164"/>
      <c r="O145" s="164">
        <f>AEP.broadband.subs.residential.without.line.rental</f>
        <v>2745133.8551490945</v>
      </c>
      <c r="P145" s="164">
        <f>AEP.broadband.subs.residential.without.line.rental</f>
        <v>3362878.7410824401</v>
      </c>
      <c r="Q145" s="19"/>
    </row>
    <row r="146" spans="2:55" x14ac:dyDescent="0.2">
      <c r="C146" s="102"/>
      <c r="D146" s="102"/>
    </row>
    <row r="147" spans="2:55" x14ac:dyDescent="0.2">
      <c r="C147" s="102" t="s">
        <v>340</v>
      </c>
      <c r="D147" s="102"/>
      <c r="H147" s="19" t="s">
        <v>298</v>
      </c>
      <c r="I147" s="163"/>
      <c r="J147" s="163"/>
      <c r="K147" s="163"/>
      <c r="L147" s="163"/>
      <c r="M147" s="163" t="str">
        <f>IFERROR(M145/M141,"")</f>
        <v/>
      </c>
      <c r="N147" s="163" t="str">
        <f>IFERROR(N145/N141,"")</f>
        <v/>
      </c>
      <c r="O147" s="163">
        <f>IFERROR(O145/O141,"")</f>
        <v>0.26171634602963673</v>
      </c>
      <c r="P147" s="163">
        <f>IFERROR(P145/P141,"")</f>
        <v>0.30357905265859625</v>
      </c>
    </row>
    <row r="148" spans="2:55" x14ac:dyDescent="0.2">
      <c r="C148" s="102"/>
      <c r="D148" s="102"/>
    </row>
    <row r="149" spans="2:55" ht="12" x14ac:dyDescent="0.2">
      <c r="C149" s="101" t="s">
        <v>341</v>
      </c>
      <c r="D149" s="101"/>
    </row>
    <row r="150" spans="2:55" x14ac:dyDescent="0.2">
      <c r="C150" s="102"/>
      <c r="D150" s="102"/>
    </row>
    <row r="151" spans="2:55" x14ac:dyDescent="0.2">
      <c r="C151" s="102" t="s">
        <v>342</v>
      </c>
      <c r="D151" s="102"/>
      <c r="H151" s="19" t="s">
        <v>330</v>
      </c>
      <c r="I151" s="165"/>
      <c r="J151" s="165"/>
      <c r="K151" s="165"/>
      <c r="L151" s="165"/>
      <c r="M151" s="165"/>
      <c r="N151" s="165"/>
      <c r="O151" s="165">
        <f>O143-(O141-O145)</f>
        <v>2371407.855149094</v>
      </c>
      <c r="P151" s="165">
        <f>P143-(P141-P145)</f>
        <v>2456284.7410824401</v>
      </c>
      <c r="Q151" s="82" t="s">
        <v>343</v>
      </c>
    </row>
    <row r="153" spans="2:55" x14ac:dyDescent="0.2">
      <c r="C153" s="107" t="s">
        <v>344</v>
      </c>
      <c r="D153" s="102"/>
      <c r="H153" s="19" t="s">
        <v>330</v>
      </c>
      <c r="I153" s="165"/>
      <c r="J153" s="165"/>
      <c r="K153" s="165"/>
      <c r="L153" s="165"/>
      <c r="M153" s="165"/>
      <c r="N153" s="165"/>
      <c r="O153" s="165">
        <f>O151*O164</f>
        <v>1653253.7441313963</v>
      </c>
      <c r="P153" s="165">
        <f>P151*P164</f>
        <v>1932926.2883898607</v>
      </c>
      <c r="Q153" s="82" t="s">
        <v>345</v>
      </c>
    </row>
    <row r="154" spans="2:55" x14ac:dyDescent="0.2">
      <c r="C154" s="116"/>
    </row>
    <row r="155" spans="2:55" x14ac:dyDescent="0.2">
      <c r="C155" s="107" t="s">
        <v>346</v>
      </c>
      <c r="D155" s="102"/>
      <c r="H155" s="19" t="s">
        <v>330</v>
      </c>
      <c r="I155" s="165"/>
      <c r="J155" s="165"/>
      <c r="K155" s="165"/>
      <c r="L155" s="165"/>
      <c r="M155" s="165"/>
      <c r="N155" s="165"/>
      <c r="O155" s="165">
        <f>O151-O153</f>
        <v>718154.11101769772</v>
      </c>
      <c r="P155" s="165">
        <f>P151-P153</f>
        <v>523358.45269257948</v>
      </c>
      <c r="Q155" s="82" t="s">
        <v>347</v>
      </c>
    </row>
    <row r="157" spans="2:55" ht="12" x14ac:dyDescent="0.2">
      <c r="B157" s="99">
        <v>2.2999999999999998</v>
      </c>
      <c r="C157" s="99" t="s">
        <v>348</v>
      </c>
      <c r="D157" s="99"/>
      <c r="E157" s="76"/>
      <c r="F157" s="76"/>
      <c r="G157" s="76"/>
      <c r="H157" s="76"/>
      <c r="I157" s="76"/>
      <c r="J157" s="76"/>
      <c r="K157" s="76"/>
      <c r="L157" s="76"/>
      <c r="M157" s="76"/>
      <c r="N157" s="76"/>
      <c r="O157" s="76"/>
      <c r="P157" s="76"/>
      <c r="Q157" s="76"/>
      <c r="R157" s="76"/>
      <c r="S157" s="76"/>
      <c r="T157" s="76"/>
      <c r="U157" s="76"/>
      <c r="V157" s="76"/>
      <c r="W157" s="76"/>
      <c r="X157" s="76"/>
      <c r="Y157" s="76"/>
      <c r="Z157" s="76"/>
      <c r="AA157" s="76"/>
      <c r="AB157" s="76"/>
      <c r="AC157" s="76"/>
      <c r="AD157" s="76"/>
      <c r="AE157" s="76"/>
      <c r="AF157" s="76"/>
      <c r="AG157" s="76"/>
      <c r="AH157" s="76"/>
      <c r="AI157" s="76"/>
      <c r="AJ157" s="76"/>
      <c r="AK157" s="76"/>
      <c r="AL157" s="76"/>
      <c r="AM157" s="76"/>
      <c r="AN157" s="76"/>
      <c r="AO157" s="76"/>
      <c r="AP157" s="76"/>
      <c r="AQ157" s="76"/>
      <c r="AR157" s="76"/>
      <c r="AS157" s="76"/>
      <c r="AT157" s="76"/>
      <c r="AU157" s="76"/>
      <c r="AV157" s="76"/>
      <c r="AW157" s="76"/>
      <c r="AX157" s="76"/>
      <c r="AY157" s="76"/>
      <c r="AZ157" s="76"/>
      <c r="BA157" s="76"/>
      <c r="BB157" s="76"/>
      <c r="BC157" s="76"/>
    </row>
    <row r="158" spans="2:55" ht="12" x14ac:dyDescent="0.2">
      <c r="C158" s="101"/>
      <c r="D158" s="101"/>
    </row>
    <row r="159" spans="2:55" ht="12" x14ac:dyDescent="0.2">
      <c r="C159" s="101" t="s">
        <v>349</v>
      </c>
      <c r="D159" s="101"/>
    </row>
    <row r="160" spans="2:55" ht="12" x14ac:dyDescent="0.2">
      <c r="C160" s="101"/>
      <c r="D160" s="101"/>
      <c r="N160">
        <v>4</v>
      </c>
      <c r="O160">
        <v>4</v>
      </c>
      <c r="P160">
        <v>5</v>
      </c>
    </row>
    <row r="161" spans="3:20" ht="12" x14ac:dyDescent="0.2">
      <c r="E161" s="43" t="s">
        <v>309</v>
      </c>
      <c r="F161" s="43" t="s">
        <v>310</v>
      </c>
      <c r="G161" s="43" t="s">
        <v>311</v>
      </c>
      <c r="H161" s="43" t="s">
        <v>213</v>
      </c>
      <c r="I161" s="43">
        <f t="array" ref="I161:O161">TRANSPOSE(Years)</f>
        <v>2018</v>
      </c>
      <c r="J161" s="43">
        <v>2019</v>
      </c>
      <c r="K161" s="43">
        <v>2020</v>
      </c>
      <c r="L161" s="43">
        <v>2021</v>
      </c>
      <c r="M161" s="43">
        <v>2022</v>
      </c>
      <c r="N161" s="43">
        <v>2023</v>
      </c>
      <c r="O161" s="43">
        <v>2024</v>
      </c>
      <c r="P161" s="43"/>
      <c r="Q161" s="43"/>
      <c r="R161" s="43" t="s">
        <v>215</v>
      </c>
    </row>
    <row r="162" spans="3:20" ht="12" x14ac:dyDescent="0.2">
      <c r="I162" s="144">
        <f t="shared" ref="I162:P162" si="13">SUM(I163:I164)</f>
        <v>0</v>
      </c>
      <c r="J162" s="144">
        <f t="shared" si="13"/>
        <v>0</v>
      </c>
      <c r="K162" s="144">
        <f t="shared" si="13"/>
        <v>0</v>
      </c>
      <c r="L162" s="144">
        <f t="shared" si="13"/>
        <v>0</v>
      </c>
      <c r="M162" s="144">
        <f t="shared" si="13"/>
        <v>0</v>
      </c>
      <c r="N162" s="144">
        <f t="shared" si="13"/>
        <v>0</v>
      </c>
      <c r="O162" s="144">
        <f t="shared" si="13"/>
        <v>1</v>
      </c>
      <c r="P162" s="144">
        <f t="shared" si="13"/>
        <v>1</v>
      </c>
      <c r="R162" t="s">
        <v>331</v>
      </c>
      <c r="T162" s="101"/>
    </row>
    <row r="163" spans="3:20" ht="12" x14ac:dyDescent="0.2">
      <c r="D163" s="100">
        <v>1</v>
      </c>
      <c r="E163" s="146" t="str">
        <f t="array" ref="E163:E164">vector.telephony.plans.names</f>
        <v>Renta Mensual de la Línea Residencial</v>
      </c>
      <c r="F163" s="166" t="s">
        <v>350</v>
      </c>
      <c r="G163" s="166" t="s">
        <v>326</v>
      </c>
      <c r="H163" s="19" t="s">
        <v>223</v>
      </c>
      <c r="I163" s="167"/>
      <c r="J163" s="167"/>
      <c r="K163" s="167"/>
      <c r="L163" s="167"/>
      <c r="M163" s="167"/>
      <c r="N163" s="167"/>
      <c r="O163" s="149">
        <f>IFERROR(VLOOKUP($E163,'Planes y paquetes'!$C$571:$G$572,O160,FALSE),0)/(SUMIFS('Planes y paquetes'!$F$571:$F$572,'Planes y paquetes'!$E$571:$E$572,"Telefonía fija"))</f>
        <v>0.30283871644363192</v>
      </c>
      <c r="P163" s="149">
        <f>IFERROR(VLOOKUP($E163,'Planes y paquetes'!$C$571:$G$572,P160,FALSE),0)/(SUMIFS('Planes y paquetes'!$G$571:$G$572,'Planes y paquetes'!$E$571:$E$572,"Telefonía fija"))</f>
        <v>0.21306912995027802</v>
      </c>
      <c r="R163" t="s">
        <v>331</v>
      </c>
      <c r="T163" s="101"/>
    </row>
    <row r="164" spans="3:20" ht="12.6" thickBot="1" x14ac:dyDescent="0.25">
      <c r="D164" s="93">
        <f>1+D163</f>
        <v>2</v>
      </c>
      <c r="E164" s="146" t="str">
        <v>Renta Mensual de la Línea Comercial</v>
      </c>
      <c r="F164" s="166" t="s">
        <v>351</v>
      </c>
      <c r="G164" s="166" t="s">
        <v>326</v>
      </c>
      <c r="H164" s="19" t="s">
        <v>223</v>
      </c>
      <c r="I164" s="167"/>
      <c r="J164" s="167"/>
      <c r="K164" s="167"/>
      <c r="L164" s="167"/>
      <c r="M164" s="167"/>
      <c r="N164" s="167"/>
      <c r="O164" s="149">
        <f>IFERROR(VLOOKUP($E164,'Planes y paquetes'!$C$571:$G$572,O160,FALSE),0)/(SUMIFS('Planes y paquetes'!$F$571:$F$572,'Planes y paquetes'!$E$571:$E$572,"Telefonía fija"))</f>
        <v>0.69716128355636808</v>
      </c>
      <c r="P164" s="149">
        <f>IFERROR(VLOOKUP($E164,'Planes y paquetes'!$C$571:$G$572,P160,FALSE),0)/(SUMIFS('Planes y paquetes'!$G$571:$G$572,'Planes y paquetes'!$E$571:$E$572,"Telefonía fija"))</f>
        <v>0.78693087004972195</v>
      </c>
      <c r="R164" t="s">
        <v>331</v>
      </c>
      <c r="T164" s="101"/>
    </row>
    <row r="165" spans="3:20" ht="12" x14ac:dyDescent="0.2">
      <c r="C165" s="101"/>
      <c r="D165" s="101"/>
      <c r="E165" s="153"/>
      <c r="F165" s="53"/>
      <c r="G165" s="53"/>
      <c r="H165" s="53"/>
      <c r="I165" s="53"/>
      <c r="J165" s="53"/>
      <c r="K165" s="53"/>
      <c r="L165" s="53"/>
      <c r="M165" s="53"/>
      <c r="N165" s="53"/>
      <c r="O165" s="53"/>
      <c r="P165" s="53"/>
      <c r="Q165" s="53"/>
      <c r="R165" s="53"/>
    </row>
    <row r="166" spans="3:20" x14ac:dyDescent="0.2">
      <c r="I166" s="125"/>
    </row>
    <row r="167" spans="3:20" ht="12" x14ac:dyDescent="0.2">
      <c r="C167" s="101" t="s">
        <v>352</v>
      </c>
      <c r="D167" s="101"/>
    </row>
    <row r="168" spans="3:20" ht="12" x14ac:dyDescent="0.2">
      <c r="C168" s="101"/>
      <c r="D168" s="101"/>
    </row>
    <row r="169" spans="3:20" ht="12" x14ac:dyDescent="0.2">
      <c r="E169" s="43" t="s">
        <v>309</v>
      </c>
      <c r="F169" s="43" t="s">
        <v>310</v>
      </c>
      <c r="G169" s="43" t="s">
        <v>311</v>
      </c>
      <c r="H169" s="43" t="s">
        <v>213</v>
      </c>
      <c r="I169" s="43">
        <f t="array" ref="I169:O169">TRANSPOSE(Years)</f>
        <v>2018</v>
      </c>
      <c r="J169" s="43">
        <v>2019</v>
      </c>
      <c r="K169" s="43">
        <v>2020</v>
      </c>
      <c r="L169" s="43">
        <v>2021</v>
      </c>
      <c r="M169" s="43">
        <v>2022</v>
      </c>
      <c r="N169" s="43">
        <v>2023</v>
      </c>
      <c r="O169" s="43">
        <v>2024</v>
      </c>
      <c r="P169" s="43"/>
      <c r="Q169" s="43"/>
      <c r="R169" s="43" t="s">
        <v>215</v>
      </c>
    </row>
    <row r="170" spans="3:20" ht="12" x14ac:dyDescent="0.2">
      <c r="I170" s="155">
        <f t="shared" ref="I170:P170" si="14">SUM(I171:I172)</f>
        <v>0</v>
      </c>
      <c r="J170" s="155">
        <f t="shared" si="14"/>
        <v>0</v>
      </c>
      <c r="K170" s="155">
        <f t="shared" si="14"/>
        <v>0</v>
      </c>
      <c r="L170" s="155">
        <f t="shared" si="14"/>
        <v>0</v>
      </c>
      <c r="M170" s="155">
        <f t="shared" si="14"/>
        <v>0</v>
      </c>
      <c r="N170" s="155">
        <f t="shared" si="14"/>
        <v>0</v>
      </c>
      <c r="O170" s="155">
        <f t="shared" si="14"/>
        <v>2371407.855149094</v>
      </c>
      <c r="P170" s="155">
        <f t="shared" si="14"/>
        <v>2456284.7410824401</v>
      </c>
      <c r="R170" s="101" t="s">
        <v>353</v>
      </c>
    </row>
    <row r="171" spans="3:20" ht="12" x14ac:dyDescent="0.2">
      <c r="D171" s="100">
        <v>1</v>
      </c>
      <c r="E171" s="146" t="str">
        <f t="array" ref="E171:E172">vector.telephony.plans.names</f>
        <v>Renta Mensual de la Línea Residencial</v>
      </c>
      <c r="F171" s="146" t="str">
        <f>F163</f>
        <v>Residencial</v>
      </c>
      <c r="G171" s="146" t="str">
        <f>G163</f>
        <v>Telefonía fija</v>
      </c>
      <c r="H171" s="19" t="s">
        <v>330</v>
      </c>
      <c r="I171" s="167"/>
      <c r="J171" s="167"/>
      <c r="K171" s="167"/>
      <c r="L171" s="167"/>
      <c r="M171" s="167"/>
      <c r="N171" s="167"/>
      <c r="O171" s="137">
        <f t="shared" ref="O171:P172" si="15">O$151*O163</f>
        <v>718154.11101769784</v>
      </c>
      <c r="P171" s="137">
        <f t="shared" si="15"/>
        <v>523358.45269257942</v>
      </c>
      <c r="R171" s="101" t="s">
        <v>353</v>
      </c>
      <c r="T171" s="101"/>
    </row>
    <row r="172" spans="3:20" ht="12.6" thickBot="1" x14ac:dyDescent="0.25">
      <c r="D172" s="93">
        <f>1+D171</f>
        <v>2</v>
      </c>
      <c r="E172" s="146" t="str">
        <v>Renta Mensual de la Línea Comercial</v>
      </c>
      <c r="F172" s="146" t="str">
        <f>F164</f>
        <v>No Residencial</v>
      </c>
      <c r="G172" s="146" t="str">
        <f>G164</f>
        <v>Telefonía fija</v>
      </c>
      <c r="H172" s="19" t="s">
        <v>330</v>
      </c>
      <c r="I172" s="167"/>
      <c r="J172" s="167"/>
      <c r="K172" s="167"/>
      <c r="L172" s="167"/>
      <c r="M172" s="167"/>
      <c r="N172" s="167"/>
      <c r="O172" s="137">
        <f t="shared" si="15"/>
        <v>1653253.7441313963</v>
      </c>
      <c r="P172" s="137">
        <f t="shared" si="15"/>
        <v>1932926.2883898607</v>
      </c>
      <c r="R172" s="101" t="s">
        <v>353</v>
      </c>
      <c r="T172" s="101"/>
    </row>
    <row r="173" spans="3:20" ht="12" x14ac:dyDescent="0.2">
      <c r="C173" s="101"/>
      <c r="D173" s="101"/>
      <c r="E173" s="153"/>
      <c r="F173" s="53"/>
      <c r="G173" s="53"/>
      <c r="H173" s="53"/>
      <c r="I173" s="53"/>
      <c r="J173" s="53"/>
      <c r="K173" s="53"/>
      <c r="L173" s="53"/>
      <c r="M173" s="53"/>
      <c r="N173" s="53"/>
      <c r="O173" s="53"/>
      <c r="P173" s="53"/>
      <c r="Q173" s="53"/>
      <c r="R173" s="53"/>
    </row>
    <row r="174" spans="3:20" ht="12" x14ac:dyDescent="0.2">
      <c r="C174" s="101"/>
      <c r="D174" s="101"/>
    </row>
    <row r="175" spans="3:20" ht="12" x14ac:dyDescent="0.2">
      <c r="C175" s="101" t="s">
        <v>354</v>
      </c>
      <c r="D175" s="101"/>
    </row>
    <row r="176" spans="3:20" ht="12" x14ac:dyDescent="0.2">
      <c r="C176" s="101"/>
      <c r="D176" s="101"/>
    </row>
    <row r="177" spans="3:20" ht="12" x14ac:dyDescent="0.2">
      <c r="E177" s="43" t="s">
        <v>309</v>
      </c>
      <c r="F177" s="43" t="s">
        <v>310</v>
      </c>
      <c r="G177" s="43" t="s">
        <v>311</v>
      </c>
      <c r="H177" s="43" t="s">
        <v>213</v>
      </c>
      <c r="I177" s="43">
        <f t="array" ref="I177:O177">TRANSPOSE(Years)</f>
        <v>2018</v>
      </c>
      <c r="J177" s="43">
        <v>2019</v>
      </c>
      <c r="K177" s="43">
        <v>2020</v>
      </c>
      <c r="L177" s="43">
        <v>2021</v>
      </c>
      <c r="M177" s="43">
        <v>2022</v>
      </c>
      <c r="N177" s="43">
        <v>2023</v>
      </c>
      <c r="O177" s="43">
        <v>2024</v>
      </c>
      <c r="P177" s="43"/>
      <c r="Q177" s="43"/>
      <c r="R177" s="43" t="s">
        <v>215</v>
      </c>
    </row>
    <row r="178" spans="3:20" ht="12" x14ac:dyDescent="0.2">
      <c r="I178" s="144">
        <f t="shared" ref="I178:P178" si="16">SUM(I179:I198)</f>
        <v>0</v>
      </c>
      <c r="J178" s="144">
        <f t="shared" si="16"/>
        <v>0</v>
      </c>
      <c r="K178" s="144">
        <f t="shared" si="16"/>
        <v>0</v>
      </c>
      <c r="L178" s="144">
        <f t="shared" si="16"/>
        <v>0</v>
      </c>
      <c r="M178" s="144">
        <f t="shared" si="16"/>
        <v>0</v>
      </c>
      <c r="N178" s="144">
        <f t="shared" si="16"/>
        <v>0</v>
      </c>
      <c r="O178" s="144">
        <f t="shared" si="16"/>
        <v>0.99999999999999967</v>
      </c>
      <c r="P178" s="144">
        <f t="shared" si="16"/>
        <v>0.99999999999999989</v>
      </c>
    </row>
    <row r="179" spans="3:20" ht="12" x14ac:dyDescent="0.2">
      <c r="C179" s="145" t="str">
        <f>E179&amp;F179</f>
        <v>Renta Mensual de la Línea ResidencialResidencial</v>
      </c>
      <c r="D179" s="100">
        <v>1</v>
      </c>
      <c r="E179" s="146" t="str">
        <f t="array" ref="E179:E199">vector.telephony.plans.names</f>
        <v>Renta Mensual de la Línea Residencial</v>
      </c>
      <c r="F179" s="166" t="s">
        <v>350</v>
      </c>
      <c r="G179" s="166" t="s">
        <v>326</v>
      </c>
      <c r="H179" s="19" t="s">
        <v>223</v>
      </c>
      <c r="I179" s="167"/>
      <c r="J179" s="167"/>
      <c r="K179" s="167"/>
      <c r="L179" s="167"/>
      <c r="M179" s="167"/>
      <c r="N179" s="167"/>
      <c r="O179" s="163">
        <f>IFERROR(O206/O$205,"0")</f>
        <v>7.1125894813194993E-2</v>
      </c>
      <c r="P179" s="515">
        <f>IFERROR(P206/P$205,"0")</f>
        <v>5.1567537025284056E-2</v>
      </c>
      <c r="R179" s="101" t="s">
        <v>312</v>
      </c>
      <c r="T179" s="101"/>
    </row>
    <row r="180" spans="3:20" ht="12" x14ac:dyDescent="0.2">
      <c r="C180" s="145" t="str">
        <f t="shared" ref="C180:C198" si="17">E180&amp;F180</f>
        <v>Renta Mensual de la Línea ComercialNo Residencial</v>
      </c>
      <c r="D180" s="93">
        <f>1+D179</f>
        <v>2</v>
      </c>
      <c r="E180" s="146" t="str">
        <v>Renta Mensual de la Línea Comercial</v>
      </c>
      <c r="F180" s="166" t="s">
        <v>351</v>
      </c>
      <c r="G180" s="166" t="s">
        <v>326</v>
      </c>
      <c r="H180" s="19" t="s">
        <v>223</v>
      </c>
      <c r="I180" s="167"/>
      <c r="J180" s="167"/>
      <c r="K180" s="167"/>
      <c r="L180" s="167"/>
      <c r="M180" s="167"/>
      <c r="N180" s="167"/>
      <c r="O180" s="163">
        <f t="shared" ref="O180:P195" si="18">IFERROR(O207/O$205,"0")</f>
        <v>0.16373804744774717</v>
      </c>
      <c r="P180" s="515">
        <f t="shared" si="18"/>
        <v>0.1904550264371842</v>
      </c>
      <c r="R180" s="101" t="s">
        <v>312</v>
      </c>
      <c r="T180" s="101"/>
    </row>
    <row r="181" spans="3:20" ht="12" x14ac:dyDescent="0.2">
      <c r="C181" s="145" t="str">
        <f t="shared" si="17"/>
        <v>Paquete 249Residencial</v>
      </c>
      <c r="D181" s="93">
        <f t="shared" ref="D181:D199" si="19">1+D180</f>
        <v>3</v>
      </c>
      <c r="E181" s="146" t="str">
        <v>Paquete 249</v>
      </c>
      <c r="F181" s="146" t="str">
        <f>VLOOKUP(E181,$E$67:$G$105,2,)</f>
        <v>Residencial</v>
      </c>
      <c r="G181" s="146" t="str">
        <f>VLOOKUP(E181,$E$67:$G$105,3,)</f>
        <v>Telefonía fija + Internet fijo</v>
      </c>
      <c r="H181" s="19" t="s">
        <v>223</v>
      </c>
      <c r="I181" s="167"/>
      <c r="J181" s="167"/>
      <c r="K181" s="167"/>
      <c r="L181" s="167"/>
      <c r="M181" s="167"/>
      <c r="N181" s="167"/>
      <c r="O181" s="163">
        <f t="shared" si="18"/>
        <v>1.5359796305987048E-2</v>
      </c>
      <c r="P181" s="515">
        <f t="shared" ref="P181:P195" si="20">IFERROR(P208/P$205,"0")</f>
        <v>1.9879002797477081E-2</v>
      </c>
      <c r="R181" s="101" t="s">
        <v>312</v>
      </c>
      <c r="T181" s="101"/>
    </row>
    <row r="182" spans="3:20" ht="12" x14ac:dyDescent="0.2">
      <c r="C182" s="145" t="str">
        <f t="shared" si="17"/>
        <v>Paquete 289Residencial</v>
      </c>
      <c r="D182" s="93">
        <f t="shared" si="19"/>
        <v>4</v>
      </c>
      <c r="E182" s="146" t="str">
        <v>Paquete 289</v>
      </c>
      <c r="F182" s="146" t="str">
        <f t="shared" ref="F182:F199" si="21">VLOOKUP(E182,$E$67:$G$105,2,)</f>
        <v>Residencial</v>
      </c>
      <c r="G182" s="146" t="str">
        <f t="shared" ref="G182:G199" si="22">VLOOKUP(E182,$E$67:$G$105,3,)</f>
        <v>Telefonía fija + Internet fijo</v>
      </c>
      <c r="H182" s="19" t="s">
        <v>223</v>
      </c>
      <c r="I182" s="167"/>
      <c r="J182" s="167"/>
      <c r="K182" s="167"/>
      <c r="L182" s="167"/>
      <c r="M182" s="167"/>
      <c r="N182" s="167"/>
      <c r="O182" s="163">
        <f t="shared" si="18"/>
        <v>4.5376250581929505E-3</v>
      </c>
      <c r="P182" s="515">
        <f t="shared" si="20"/>
        <v>4.865653292123788E-3</v>
      </c>
      <c r="R182" s="101" t="s">
        <v>312</v>
      </c>
      <c r="T182" s="101"/>
    </row>
    <row r="183" spans="3:20" ht="12" x14ac:dyDescent="0.2">
      <c r="C183" s="145" t="str">
        <f t="shared" si="17"/>
        <v>Paquete 333Residencial</v>
      </c>
      <c r="D183" s="93">
        <f t="shared" si="19"/>
        <v>5</v>
      </c>
      <c r="E183" s="146" t="str">
        <v>Paquete 333</v>
      </c>
      <c r="F183" s="146" t="str">
        <f t="shared" si="21"/>
        <v>Residencial</v>
      </c>
      <c r="G183" s="146" t="str">
        <f t="shared" si="22"/>
        <v>Telefonía fija + Internet fijo</v>
      </c>
      <c r="H183" s="19" t="s">
        <v>223</v>
      </c>
      <c r="I183" s="167"/>
      <c r="J183" s="167"/>
      <c r="K183" s="167"/>
      <c r="L183" s="167"/>
      <c r="M183" s="167"/>
      <c r="N183" s="167"/>
      <c r="O183" s="163">
        <f t="shared" si="18"/>
        <v>6.5870832005900494E-3</v>
      </c>
      <c r="P183" s="515">
        <f t="shared" si="20"/>
        <v>6.5694829136564489E-3</v>
      </c>
      <c r="R183" s="101" t="s">
        <v>312</v>
      </c>
      <c r="T183" s="101"/>
    </row>
    <row r="184" spans="3:20" ht="12" x14ac:dyDescent="0.2">
      <c r="C184" s="145" t="str">
        <f t="shared" si="17"/>
        <v>Paquete 389Residencial</v>
      </c>
      <c r="D184" s="93">
        <f t="shared" si="19"/>
        <v>6</v>
      </c>
      <c r="E184" s="146" t="str">
        <v>Paquete 389</v>
      </c>
      <c r="F184" s="146" t="str">
        <f t="shared" si="21"/>
        <v>Residencial</v>
      </c>
      <c r="G184" s="146" t="str">
        <f t="shared" si="22"/>
        <v>Telefonía fija + Internet fijo</v>
      </c>
      <c r="H184" s="19" t="s">
        <v>223</v>
      </c>
      <c r="I184" s="167"/>
      <c r="J184" s="167"/>
      <c r="K184" s="167"/>
      <c r="L184" s="167"/>
      <c r="M184" s="167"/>
      <c r="N184" s="167"/>
      <c r="O184" s="163">
        <f t="shared" si="18"/>
        <v>0.49198247007248164</v>
      </c>
      <c r="P184" s="515">
        <f t="shared" si="20"/>
        <v>0.4858132344499963</v>
      </c>
      <c r="R184" s="101" t="s">
        <v>312</v>
      </c>
      <c r="T184" s="101"/>
    </row>
    <row r="185" spans="3:20" ht="12" x14ac:dyDescent="0.2">
      <c r="C185" s="145" t="str">
        <f t="shared" si="17"/>
        <v>Paquete 435Residencial</v>
      </c>
      <c r="D185" s="93">
        <f t="shared" si="19"/>
        <v>7</v>
      </c>
      <c r="E185" s="146" t="str">
        <v>Paquete 435</v>
      </c>
      <c r="F185" s="146" t="str">
        <f t="shared" si="21"/>
        <v>Residencial</v>
      </c>
      <c r="G185" s="146" t="str">
        <f t="shared" si="22"/>
        <v>Telefonía fija + Internet fijo</v>
      </c>
      <c r="H185" s="19" t="s">
        <v>223</v>
      </c>
      <c r="I185" s="167"/>
      <c r="J185" s="167"/>
      <c r="K185" s="167"/>
      <c r="L185" s="167"/>
      <c r="M185" s="167"/>
      <c r="N185" s="167"/>
      <c r="O185" s="163">
        <f t="shared" si="18"/>
        <v>1.9327013937433506E-2</v>
      </c>
      <c r="P185" s="515">
        <f t="shared" si="20"/>
        <v>2.6405171824554742E-2</v>
      </c>
      <c r="R185" s="101" t="s">
        <v>312</v>
      </c>
      <c r="T185" s="101"/>
    </row>
    <row r="186" spans="3:20" ht="12" x14ac:dyDescent="0.2">
      <c r="C186" s="145" t="str">
        <f t="shared" si="17"/>
        <v>Paquete 499Residencial</v>
      </c>
      <c r="D186" s="93">
        <f t="shared" si="19"/>
        <v>8</v>
      </c>
      <c r="E186" s="146" t="str">
        <v>Paquete 499</v>
      </c>
      <c r="F186" s="146" t="str">
        <f t="shared" si="21"/>
        <v>Residencial</v>
      </c>
      <c r="G186" s="146" t="str">
        <f t="shared" si="22"/>
        <v>Telefonía fija + Internet fijo</v>
      </c>
      <c r="H186" s="19" t="s">
        <v>223</v>
      </c>
      <c r="I186" s="167"/>
      <c r="J186" s="167"/>
      <c r="K186" s="167"/>
      <c r="L186" s="167"/>
      <c r="M186" s="167"/>
      <c r="N186" s="167"/>
      <c r="O186" s="163">
        <f t="shared" si="18"/>
        <v>4.0265035307849709E-2</v>
      </c>
      <c r="P186" s="515">
        <f t="shared" si="20"/>
        <v>3.9886146261485574E-2</v>
      </c>
      <c r="R186" s="101" t="s">
        <v>312</v>
      </c>
      <c r="T186" s="101"/>
    </row>
    <row r="187" spans="3:20" ht="12" x14ac:dyDescent="0.2">
      <c r="C187" s="145" t="str">
        <f t="shared" si="17"/>
        <v>Paquete 599Residencial</v>
      </c>
      <c r="D187" s="93">
        <f t="shared" si="19"/>
        <v>9</v>
      </c>
      <c r="E187" s="146" t="str">
        <v>Paquete 599</v>
      </c>
      <c r="F187" s="146" t="str">
        <f t="shared" si="21"/>
        <v>Residencial</v>
      </c>
      <c r="G187" s="146" t="str">
        <f t="shared" si="22"/>
        <v>Telefonía fija + Internet fijo</v>
      </c>
      <c r="H187" s="19" t="s">
        <v>223</v>
      </c>
      <c r="I187" s="167"/>
      <c r="J187" s="167"/>
      <c r="K187" s="167"/>
      <c r="L187" s="167"/>
      <c r="M187" s="167"/>
      <c r="N187" s="167"/>
      <c r="O187" s="163">
        <f t="shared" si="18"/>
        <v>3.9081811939594854E-2</v>
      </c>
      <c r="P187" s="515">
        <f t="shared" si="20"/>
        <v>3.0776542531582986E-2</v>
      </c>
      <c r="R187" s="101" t="s">
        <v>312</v>
      </c>
      <c r="T187" s="101"/>
    </row>
    <row r="188" spans="3:20" ht="12" x14ac:dyDescent="0.2">
      <c r="C188" s="145" t="str">
        <f t="shared" si="17"/>
        <v>Paquete 649Residencial</v>
      </c>
      <c r="D188" s="93">
        <f t="shared" si="19"/>
        <v>10</v>
      </c>
      <c r="E188" s="146" t="str">
        <v>Paquete 649</v>
      </c>
      <c r="F188" s="146" t="str">
        <f t="shared" si="21"/>
        <v>Residencial</v>
      </c>
      <c r="G188" s="146" t="str">
        <f t="shared" si="22"/>
        <v>Telefonía fija + Internet fijo</v>
      </c>
      <c r="H188" s="19" t="s">
        <v>223</v>
      </c>
      <c r="I188" s="167"/>
      <c r="J188" s="167"/>
      <c r="K188" s="167"/>
      <c r="L188" s="167"/>
      <c r="M188" s="167"/>
      <c r="N188" s="167"/>
      <c r="O188" s="163">
        <f t="shared" si="18"/>
        <v>1.7909382450058724E-2</v>
      </c>
      <c r="P188" s="515">
        <f t="shared" si="20"/>
        <v>2.3632812934531698E-2</v>
      </c>
      <c r="R188" s="101" t="s">
        <v>312</v>
      </c>
      <c r="T188" s="101"/>
    </row>
    <row r="189" spans="3:20" ht="12" x14ac:dyDescent="0.2">
      <c r="C189" s="145" t="str">
        <f t="shared" si="17"/>
        <v>Paquetre 725Residencial</v>
      </c>
      <c r="D189" s="93">
        <f t="shared" si="19"/>
        <v>11</v>
      </c>
      <c r="E189" s="146" t="str">
        <v>Paquetre 725</v>
      </c>
      <c r="F189" s="146" t="str">
        <f t="shared" si="21"/>
        <v>Residencial</v>
      </c>
      <c r="G189" s="146" t="str">
        <f t="shared" si="22"/>
        <v>Telefonía fija + Internet fijo</v>
      </c>
      <c r="H189" s="19" t="s">
        <v>223</v>
      </c>
      <c r="I189" s="167"/>
      <c r="J189" s="167"/>
      <c r="K189" s="167"/>
      <c r="L189" s="167"/>
      <c r="M189" s="167"/>
      <c r="N189" s="167"/>
      <c r="O189" s="163">
        <f t="shared" si="18"/>
        <v>8.1668648914661357E-4</v>
      </c>
      <c r="P189" s="515">
        <f t="shared" si="20"/>
        <v>2.3611921413354401E-3</v>
      </c>
      <c r="R189" s="101" t="s">
        <v>312</v>
      </c>
      <c r="T189" s="101"/>
    </row>
    <row r="190" spans="3:20" ht="12" x14ac:dyDescent="0.2">
      <c r="C190" s="145" t="str">
        <f t="shared" si="17"/>
        <v>Paquete Infinitum 999Residencial</v>
      </c>
      <c r="D190" s="93">
        <f t="shared" si="19"/>
        <v>12</v>
      </c>
      <c r="E190" s="146" t="str">
        <v>Paquete Infinitum 999</v>
      </c>
      <c r="F190" s="146" t="str">
        <f t="shared" si="21"/>
        <v>Residencial</v>
      </c>
      <c r="G190" s="146" t="str">
        <f t="shared" si="22"/>
        <v>Telefonía fija + Internet fijo</v>
      </c>
      <c r="H190" s="19" t="s">
        <v>223</v>
      </c>
      <c r="I190" s="167"/>
      <c r="J190" s="167"/>
      <c r="K190" s="167"/>
      <c r="L190" s="167"/>
      <c r="M190" s="167"/>
      <c r="N190" s="167"/>
      <c r="O190" s="163">
        <f t="shared" si="18"/>
        <v>4.9942262678401199E-3</v>
      </c>
      <c r="P190" s="515">
        <f t="shared" si="20"/>
        <v>5.7044658773241861E-3</v>
      </c>
      <c r="R190" s="101" t="s">
        <v>312</v>
      </c>
      <c r="T190" s="101"/>
    </row>
    <row r="191" spans="3:20" ht="12" x14ac:dyDescent="0.2">
      <c r="C191" s="145" t="str">
        <f t="shared" si="17"/>
        <v>Paquete 1399Residencial</v>
      </c>
      <c r="D191" s="93">
        <f t="shared" si="19"/>
        <v>13</v>
      </c>
      <c r="E191" s="146" t="str">
        <v>Paquete 1399</v>
      </c>
      <c r="F191" s="146" t="str">
        <f t="shared" si="21"/>
        <v>Residencial</v>
      </c>
      <c r="G191" s="146" t="str">
        <f t="shared" si="22"/>
        <v>Telefonía fija + Internet fijo</v>
      </c>
      <c r="H191" s="19" t="s">
        <v>223</v>
      </c>
      <c r="I191" s="167"/>
      <c r="J191" s="167"/>
      <c r="K191" s="167"/>
      <c r="L191" s="167"/>
      <c r="M191" s="167"/>
      <c r="N191" s="167"/>
      <c r="O191" s="163">
        <f t="shared" si="18"/>
        <v>1.6143622647792812E-3</v>
      </c>
      <c r="P191" s="515">
        <f t="shared" si="20"/>
        <v>1.5635322508679016E-3</v>
      </c>
      <c r="R191" s="101" t="s">
        <v>312</v>
      </c>
      <c r="T191" s="101"/>
    </row>
    <row r="192" spans="3:20" ht="12" x14ac:dyDescent="0.2">
      <c r="C192" s="145" t="str">
        <f t="shared" si="17"/>
        <v>Paquete Conectes NegocioNo residencial</v>
      </c>
      <c r="D192" s="93">
        <f t="shared" si="19"/>
        <v>14</v>
      </c>
      <c r="E192" s="146" t="str">
        <v>Paquete Conectes Negocio</v>
      </c>
      <c r="F192" s="146" t="str">
        <f t="shared" si="21"/>
        <v>No residencial</v>
      </c>
      <c r="G192" s="146" t="str">
        <f t="shared" si="22"/>
        <v>Telefonía fija + Internet fijo</v>
      </c>
      <c r="H192" s="19" t="s">
        <v>223</v>
      </c>
      <c r="I192" s="167"/>
      <c r="J192" s="167"/>
      <c r="K192" s="167"/>
      <c r="L192" s="167"/>
      <c r="M192" s="167"/>
      <c r="N192" s="167"/>
      <c r="O192" s="163">
        <f t="shared" si="18"/>
        <v>6.4477974661023535E-2</v>
      </c>
      <c r="P192" s="515">
        <f t="shared" si="20"/>
        <v>4.9168555289402081E-2</v>
      </c>
      <c r="R192" s="101" t="s">
        <v>312</v>
      </c>
      <c r="T192" s="101"/>
    </row>
    <row r="193" spans="3:20" ht="12" x14ac:dyDescent="0.2">
      <c r="C193" s="145" t="str">
        <f t="shared" si="17"/>
        <v>Paquete Mi NegocioNo residencial</v>
      </c>
      <c r="D193" s="93">
        <f t="shared" si="19"/>
        <v>15</v>
      </c>
      <c r="E193" s="146" t="str">
        <v>Paquete Mi Negocio</v>
      </c>
      <c r="F193" s="146" t="str">
        <f t="shared" si="21"/>
        <v>No residencial</v>
      </c>
      <c r="G193" s="146" t="str">
        <f t="shared" si="22"/>
        <v>Telefonía fija + Internet fijo</v>
      </c>
      <c r="H193" s="19" t="s">
        <v>223</v>
      </c>
      <c r="I193" s="167"/>
      <c r="J193" s="167"/>
      <c r="K193" s="167"/>
      <c r="L193" s="167"/>
      <c r="M193" s="167"/>
      <c r="N193" s="167"/>
      <c r="O193" s="163">
        <f t="shared" si="18"/>
        <v>3.0190389401395835E-2</v>
      </c>
      <c r="P193" s="515">
        <f t="shared" si="20"/>
        <v>2.8985634888591516E-2</v>
      </c>
      <c r="R193" s="101" t="s">
        <v>312</v>
      </c>
      <c r="T193" s="101"/>
    </row>
    <row r="194" spans="3:20" ht="12" x14ac:dyDescent="0.2">
      <c r="C194" s="145" t="str">
        <f t="shared" si="17"/>
        <v>Paquete Negocio 649No residencial</v>
      </c>
      <c r="D194" s="93">
        <f t="shared" si="19"/>
        <v>16</v>
      </c>
      <c r="E194" s="146" t="str">
        <v>Paquete Negocio 649</v>
      </c>
      <c r="F194" s="146" t="str">
        <f t="shared" si="21"/>
        <v>No residencial</v>
      </c>
      <c r="G194" s="146" t="str">
        <f t="shared" si="22"/>
        <v>Telefonía fija + Internet fijo</v>
      </c>
      <c r="H194" s="19" t="s">
        <v>223</v>
      </c>
      <c r="I194" s="167"/>
      <c r="J194" s="167"/>
      <c r="K194" s="167"/>
      <c r="L194" s="167"/>
      <c r="M194" s="167"/>
      <c r="N194" s="167"/>
      <c r="O194" s="163">
        <f t="shared" si="18"/>
        <v>1.6969427397719873E-3</v>
      </c>
      <c r="P194" s="515">
        <f t="shared" si="20"/>
        <v>2.5864963912733251E-3</v>
      </c>
      <c r="R194" s="101" t="s">
        <v>312</v>
      </c>
      <c r="T194" s="101"/>
    </row>
    <row r="195" spans="3:20" ht="12" x14ac:dyDescent="0.2">
      <c r="C195" s="145" t="str">
        <f t="shared" si="17"/>
        <v>Paquete SupernegocioNo residencial</v>
      </c>
      <c r="D195" s="93">
        <f t="shared" si="19"/>
        <v>17</v>
      </c>
      <c r="E195" s="146" t="str">
        <v>Paquete Supernegocio</v>
      </c>
      <c r="F195" s="146" t="str">
        <f t="shared" si="21"/>
        <v>No residencial</v>
      </c>
      <c r="G195" s="146" t="str">
        <f t="shared" si="22"/>
        <v>Telefonía fija + Internet fijo</v>
      </c>
      <c r="H195" s="19" t="s">
        <v>223</v>
      </c>
      <c r="I195" s="167"/>
      <c r="J195" s="167"/>
      <c r="K195" s="167"/>
      <c r="L195" s="167"/>
      <c r="M195" s="167"/>
      <c r="N195" s="167"/>
      <c r="O195" s="163">
        <f t="shared" si="18"/>
        <v>1.9784561381689967E-2</v>
      </c>
      <c r="P195" s="515">
        <f t="shared" si="20"/>
        <v>2.196410268049535E-2</v>
      </c>
      <c r="R195" s="101" t="s">
        <v>312</v>
      </c>
      <c r="T195" s="101"/>
    </row>
    <row r="196" spans="3:20" ht="12" x14ac:dyDescent="0.2">
      <c r="C196" s="145" t="str">
        <f t="shared" si="17"/>
        <v>Paquete Negocio 999No residencial</v>
      </c>
      <c r="D196" s="93">
        <f t="shared" si="19"/>
        <v>18</v>
      </c>
      <c r="E196" s="146" t="str">
        <v>Paquete Negocio 999</v>
      </c>
      <c r="F196" s="146" t="str">
        <f t="shared" si="21"/>
        <v>No residencial</v>
      </c>
      <c r="G196" s="146" t="str">
        <f t="shared" si="22"/>
        <v>Telefonía fija + Internet fijo</v>
      </c>
      <c r="H196" s="19" t="s">
        <v>223</v>
      </c>
      <c r="I196" s="167"/>
      <c r="J196" s="167"/>
      <c r="K196" s="167"/>
      <c r="L196" s="167"/>
      <c r="M196" s="167"/>
      <c r="N196" s="167"/>
      <c r="O196" s="163">
        <f t="shared" ref="O196:P199" si="23">IFERROR(O223/O$205,"0")</f>
        <v>7.03310378687878E-4</v>
      </c>
      <c r="P196" s="515">
        <f t="shared" si="23"/>
        <v>7.3336443305121188E-4</v>
      </c>
      <c r="R196" s="101" t="s">
        <v>312</v>
      </c>
      <c r="T196" s="101"/>
    </row>
    <row r="197" spans="3:20" ht="12" x14ac:dyDescent="0.2">
      <c r="C197" s="145" t="str">
        <f t="shared" si="17"/>
        <v>Paquete Telmex Negocio Ilimitado 1No residencial</v>
      </c>
      <c r="D197" s="93">
        <f t="shared" si="19"/>
        <v>19</v>
      </c>
      <c r="E197" s="146" t="str">
        <v>Paquete Telmex Negocio Ilimitado 1</v>
      </c>
      <c r="F197" s="146" t="str">
        <f t="shared" si="21"/>
        <v>No residencial</v>
      </c>
      <c r="G197" s="146" t="str">
        <f t="shared" si="22"/>
        <v>Telefonía fija + Internet fijo</v>
      </c>
      <c r="H197" s="19" t="s">
        <v>223</v>
      </c>
      <c r="I197" s="167"/>
      <c r="J197" s="167"/>
      <c r="K197" s="167"/>
      <c r="L197" s="167"/>
      <c r="M197" s="167"/>
      <c r="N197" s="167"/>
      <c r="O197" s="163">
        <f t="shared" si="23"/>
        <v>4.0697550545624002E-3</v>
      </c>
      <c r="P197" s="515">
        <f t="shared" si="23"/>
        <v>5.4414308197428263E-3</v>
      </c>
      <c r="R197" s="101" t="s">
        <v>312</v>
      </c>
      <c r="T197" s="101"/>
    </row>
    <row r="198" spans="3:20" ht="12" x14ac:dyDescent="0.2">
      <c r="C198" s="145" t="str">
        <f t="shared" si="17"/>
        <v>Paquete Telmex Negocio Ilimitado 2No residencial</v>
      </c>
      <c r="D198" s="93">
        <f t="shared" si="19"/>
        <v>20</v>
      </c>
      <c r="E198" s="146" t="str">
        <v>Paquete Telmex Negocio Ilimitado 2</v>
      </c>
      <c r="F198" s="146" t="str">
        <f t="shared" si="21"/>
        <v>No residencial</v>
      </c>
      <c r="G198" s="146" t="str">
        <f t="shared" si="22"/>
        <v>Telefonía fija + Internet fijo</v>
      </c>
      <c r="H198" s="19" t="s">
        <v>223</v>
      </c>
      <c r="I198" s="167"/>
      <c r="J198" s="167"/>
      <c r="K198" s="167"/>
      <c r="L198" s="167"/>
      <c r="M198" s="167"/>
      <c r="N198" s="167"/>
      <c r="O198" s="163">
        <f t="shared" si="23"/>
        <v>1.7376308279715184E-3</v>
      </c>
      <c r="P198" s="515">
        <f t="shared" si="23"/>
        <v>1.6406147600392963E-3</v>
      </c>
      <c r="R198" s="101" t="s">
        <v>312</v>
      </c>
      <c r="T198" s="101"/>
    </row>
    <row r="199" spans="3:20" ht="12.6" thickBot="1" x14ac:dyDescent="0.25">
      <c r="C199" s="145"/>
      <c r="D199" s="93">
        <f t="shared" si="19"/>
        <v>21</v>
      </c>
      <c r="E199" s="146" t="str">
        <v>Paquete Telmex Negocio Ilimitado 3</v>
      </c>
      <c r="F199" s="146" t="str">
        <f t="shared" si="21"/>
        <v>No residencial</v>
      </c>
      <c r="G199" s="146" t="str">
        <f t="shared" si="22"/>
        <v>Telefonía fija + Internet fijo</v>
      </c>
      <c r="H199" s="19" t="s">
        <v>223</v>
      </c>
      <c r="I199" s="167"/>
      <c r="J199" s="167"/>
      <c r="K199" s="167"/>
      <c r="L199" s="167"/>
      <c r="M199" s="167"/>
      <c r="N199" s="167"/>
      <c r="O199" s="163">
        <f t="shared" si="23"/>
        <v>1.8121252981211885E-3</v>
      </c>
      <c r="P199" s="515">
        <f t="shared" si="23"/>
        <v>2.153447575145712E-3</v>
      </c>
      <c r="R199" s="101"/>
      <c r="T199" s="101"/>
    </row>
    <row r="200" spans="3:20" ht="12" x14ac:dyDescent="0.2">
      <c r="E200" s="153"/>
      <c r="F200" s="53"/>
      <c r="G200" s="53"/>
      <c r="H200" s="53"/>
      <c r="I200" s="53"/>
      <c r="J200" s="53"/>
      <c r="K200" s="53"/>
      <c r="L200" s="53"/>
      <c r="M200" s="53"/>
      <c r="N200" s="154"/>
      <c r="O200" s="154" t="s">
        <v>355</v>
      </c>
      <c r="P200" s="154"/>
      <c r="Q200" s="53"/>
      <c r="R200" s="53"/>
    </row>
    <row r="202" spans="3:20" ht="12" x14ac:dyDescent="0.2">
      <c r="C202" s="101" t="s">
        <v>356</v>
      </c>
      <c r="D202" s="101"/>
    </row>
    <row r="203" spans="3:20" ht="12" x14ac:dyDescent="0.2">
      <c r="C203" s="101"/>
      <c r="D203" s="101"/>
      <c r="I203" s="100">
        <v>7</v>
      </c>
      <c r="J203" s="93">
        <v>8</v>
      </c>
      <c r="K203" s="93">
        <v>9</v>
      </c>
      <c r="L203" s="93">
        <v>10</v>
      </c>
      <c r="M203" s="93">
        <v>11</v>
      </c>
      <c r="N203" s="168">
        <v>12</v>
      </c>
      <c r="O203" s="168">
        <v>13</v>
      </c>
      <c r="P203" s="168">
        <v>14</v>
      </c>
    </row>
    <row r="204" spans="3:20" ht="12" x14ac:dyDescent="0.2">
      <c r="E204" s="43" t="s">
        <v>309</v>
      </c>
      <c r="F204" s="43" t="s">
        <v>310</v>
      </c>
      <c r="G204" s="43" t="s">
        <v>311</v>
      </c>
      <c r="H204" s="43" t="s">
        <v>213</v>
      </c>
      <c r="I204" s="43">
        <f t="array" ref="I204:O204">TRANSPOSE(Years)</f>
        <v>2018</v>
      </c>
      <c r="J204" s="43">
        <v>2019</v>
      </c>
      <c r="K204" s="43">
        <v>2020</v>
      </c>
      <c r="L204" s="43">
        <v>2021</v>
      </c>
      <c r="M204" s="43">
        <v>2022</v>
      </c>
      <c r="N204" s="43">
        <v>2023</v>
      </c>
      <c r="O204" s="43">
        <v>2024</v>
      </c>
      <c r="P204" s="43"/>
      <c r="Q204" s="43"/>
      <c r="R204" s="43" t="s">
        <v>215</v>
      </c>
    </row>
    <row r="205" spans="3:20" ht="12" x14ac:dyDescent="0.2">
      <c r="I205" s="155">
        <f>SUM(I206:I225)</f>
        <v>0</v>
      </c>
      <c r="J205" s="155">
        <f>SUM(J206:J225)</f>
        <v>0</v>
      </c>
      <c r="K205" s="155">
        <f>SUM(K206:K225)</f>
        <v>0</v>
      </c>
      <c r="L205" s="155"/>
      <c r="M205" s="155">
        <f>SUM(M206:M225)</f>
        <v>0</v>
      </c>
      <c r="N205" s="155">
        <f>SUM(N206:N225)</f>
        <v>0</v>
      </c>
      <c r="O205" s="155">
        <f>SUM(O206:O225)</f>
        <v>10096943.074021878</v>
      </c>
      <c r="P205" s="155">
        <f>SUM(P206:P225)</f>
        <v>10148990.680628624</v>
      </c>
    </row>
    <row r="206" spans="3:20" ht="12" x14ac:dyDescent="0.2">
      <c r="C206" s="145" t="str">
        <f>E206&amp;F206</f>
        <v>Renta Mensual de la Línea ResidencialResidencial</v>
      </c>
      <c r="D206" s="100">
        <v>1</v>
      </c>
      <c r="E206" s="146" t="str">
        <f t="array" ref="E206:E226">vector.telephony.plans.names</f>
        <v>Renta Mensual de la Línea Residencial</v>
      </c>
      <c r="F206" s="166" t="s">
        <v>350</v>
      </c>
      <c r="G206" s="166" t="s">
        <v>326</v>
      </c>
      <c r="H206" s="19" t="s">
        <v>330</v>
      </c>
      <c r="I206" s="156"/>
      <c r="J206" s="156"/>
      <c r="K206" s="156"/>
      <c r="L206" s="156"/>
      <c r="M206" s="156"/>
      <c r="N206" s="156"/>
      <c r="O206" s="169">
        <f t="shared" ref="O206:P207" si="24">O171</f>
        <v>718154.11101769784</v>
      </c>
      <c r="P206" s="169">
        <f t="shared" si="24"/>
        <v>523358.45269257942</v>
      </c>
      <c r="R206" s="101" t="s">
        <v>312</v>
      </c>
      <c r="T206" s="101"/>
    </row>
    <row r="207" spans="3:20" ht="12" x14ac:dyDescent="0.2">
      <c r="C207" s="145" t="str">
        <f t="shared" ref="C207:C226" si="25">E207&amp;F207</f>
        <v>Renta Mensual de la Línea ComercialNo Residencial</v>
      </c>
      <c r="D207" s="93">
        <f>1+D206</f>
        <v>2</v>
      </c>
      <c r="E207" s="146" t="str">
        <v>Renta Mensual de la Línea Comercial</v>
      </c>
      <c r="F207" s="166" t="s">
        <v>351</v>
      </c>
      <c r="G207" s="166" t="s">
        <v>326</v>
      </c>
      <c r="H207" s="19" t="s">
        <v>330</v>
      </c>
      <c r="I207" s="156"/>
      <c r="J207" s="156"/>
      <c r="K207" s="156"/>
      <c r="L207" s="156"/>
      <c r="M207" s="156"/>
      <c r="N207" s="156"/>
      <c r="O207" s="169">
        <f t="shared" si="24"/>
        <v>1653253.7441313963</v>
      </c>
      <c r="P207" s="169">
        <f t="shared" si="24"/>
        <v>1932926.2883898607</v>
      </c>
      <c r="R207" s="101" t="s">
        <v>312</v>
      </c>
      <c r="T207" s="101"/>
    </row>
    <row r="208" spans="3:20" ht="12" x14ac:dyDescent="0.2">
      <c r="C208" s="145" t="str">
        <f t="shared" si="25"/>
        <v>Paquete 249Residencial</v>
      </c>
      <c r="D208" s="93">
        <f t="shared" ref="D208:D226" si="26">1+D207</f>
        <v>3</v>
      </c>
      <c r="E208" s="146" t="str">
        <v>Paquete 249</v>
      </c>
      <c r="F208" s="146" t="str">
        <f>VLOOKUP(E208,$E$67:$G$105,2,)</f>
        <v>Residencial</v>
      </c>
      <c r="G208" s="146" t="str">
        <f>VLOOKUP(E208,$E$67:$G$105,3,)</f>
        <v>Telefonía fija + Internet fijo</v>
      </c>
      <c r="H208" s="19" t="s">
        <v>330</v>
      </c>
      <c r="I208" s="156"/>
      <c r="J208" s="156"/>
      <c r="K208" s="156"/>
      <c r="L208" s="156"/>
      <c r="M208" s="156"/>
      <c r="N208" s="156"/>
      <c r="O208" s="159">
        <f t="shared" ref="O208:P225" si="27">IFERROR(VLOOKUP($C208,AEP.broadband.subs.by.plan,O$203,FALSE),0)</f>
        <v>155086.98893012275</v>
      </c>
      <c r="P208" s="159">
        <f t="shared" si="27"/>
        <v>201751.81413178524</v>
      </c>
      <c r="R208" s="101" t="s">
        <v>312</v>
      </c>
      <c r="T208" s="101"/>
    </row>
    <row r="209" spans="3:20" ht="12" x14ac:dyDescent="0.2">
      <c r="C209" s="145" t="str">
        <f t="shared" si="25"/>
        <v>Paquete 289Residencial</v>
      </c>
      <c r="D209" s="93">
        <f t="shared" si="26"/>
        <v>4</v>
      </c>
      <c r="E209" s="146" t="str">
        <v>Paquete 289</v>
      </c>
      <c r="F209" s="146" t="str">
        <f t="shared" ref="F209:F226" si="28">VLOOKUP(E209,$E$67:$G$105,2,)</f>
        <v>Residencial</v>
      </c>
      <c r="G209" s="146" t="str">
        <f t="shared" ref="G209:G226" si="29">VLOOKUP(E209,$E$67:$G$105,3,)</f>
        <v>Telefonía fija + Internet fijo</v>
      </c>
      <c r="H209" s="19" t="s">
        <v>330</v>
      </c>
      <c r="I209" s="156"/>
      <c r="J209" s="156"/>
      <c r="K209" s="156"/>
      <c r="L209" s="156"/>
      <c r="M209" s="156"/>
      <c r="N209" s="156"/>
      <c r="O209" s="159">
        <f t="shared" si="27"/>
        <v>45816.141903829433</v>
      </c>
      <c r="P209" s="159">
        <f t="shared" si="27"/>
        <v>49381.469916934308</v>
      </c>
      <c r="R209" s="101" t="s">
        <v>312</v>
      </c>
      <c r="T209" s="101"/>
    </row>
    <row r="210" spans="3:20" ht="12" x14ac:dyDescent="0.2">
      <c r="C210" s="145" t="str">
        <f t="shared" si="25"/>
        <v>Paquete 333Residencial</v>
      </c>
      <c r="D210" s="93">
        <f t="shared" si="26"/>
        <v>5</v>
      </c>
      <c r="E210" s="146" t="str">
        <v>Paquete 333</v>
      </c>
      <c r="F210" s="146" t="str">
        <f t="shared" si="28"/>
        <v>Residencial</v>
      </c>
      <c r="G210" s="146" t="str">
        <f t="shared" si="29"/>
        <v>Telefonía fija + Internet fijo</v>
      </c>
      <c r="H210" s="19" t="s">
        <v>330</v>
      </c>
      <c r="I210" s="156"/>
      <c r="J210" s="156"/>
      <c r="K210" s="156"/>
      <c r="L210" s="156"/>
      <c r="M210" s="156"/>
      <c r="N210" s="156"/>
      <c r="O210" s="159">
        <f t="shared" si="27"/>
        <v>66509.404100203566</v>
      </c>
      <c r="P210" s="159">
        <f t="shared" si="27"/>
        <v>66673.620867248275</v>
      </c>
      <c r="R210" s="101" t="s">
        <v>312</v>
      </c>
      <c r="T210" s="101"/>
    </row>
    <row r="211" spans="3:20" ht="12" x14ac:dyDescent="0.2">
      <c r="C211" s="145" t="str">
        <f t="shared" si="25"/>
        <v>Paquete 389Residencial</v>
      </c>
      <c r="D211" s="93">
        <f t="shared" si="26"/>
        <v>6</v>
      </c>
      <c r="E211" s="146" t="str">
        <v>Paquete 389</v>
      </c>
      <c r="F211" s="146" t="str">
        <f t="shared" si="28"/>
        <v>Residencial</v>
      </c>
      <c r="G211" s="146" t="str">
        <f t="shared" si="29"/>
        <v>Telefonía fija + Internet fijo</v>
      </c>
      <c r="H211" s="19" t="s">
        <v>330</v>
      </c>
      <c r="I211" s="156"/>
      <c r="J211" s="156"/>
      <c r="K211" s="156"/>
      <c r="L211" s="156"/>
      <c r="M211" s="156"/>
      <c r="N211" s="156"/>
      <c r="O211" s="159">
        <f t="shared" si="27"/>
        <v>4967518.993738519</v>
      </c>
      <c r="P211" s="159">
        <f t="shared" si="27"/>
        <v>4930513.988959061</v>
      </c>
      <c r="R211" s="101" t="s">
        <v>312</v>
      </c>
      <c r="T211" s="101"/>
    </row>
    <row r="212" spans="3:20" ht="12" x14ac:dyDescent="0.2">
      <c r="C212" s="145" t="str">
        <f t="shared" si="25"/>
        <v>Paquete 435Residencial</v>
      </c>
      <c r="D212" s="93">
        <f t="shared" si="26"/>
        <v>7</v>
      </c>
      <c r="E212" s="146" t="str">
        <v>Paquete 435</v>
      </c>
      <c r="F212" s="146" t="str">
        <f t="shared" si="28"/>
        <v>Residencial</v>
      </c>
      <c r="G212" s="146" t="str">
        <f t="shared" si="29"/>
        <v>Telefonía fija + Internet fijo</v>
      </c>
      <c r="H212" s="19" t="s">
        <v>330</v>
      </c>
      <c r="I212" s="156"/>
      <c r="J212" s="156"/>
      <c r="K212" s="156"/>
      <c r="L212" s="156"/>
      <c r="M212" s="156"/>
      <c r="N212" s="156"/>
      <c r="O212" s="159">
        <f t="shared" si="27"/>
        <v>195143.75951709354</v>
      </c>
      <c r="P212" s="159">
        <f t="shared" si="27"/>
        <v>267985.84276780358</v>
      </c>
      <c r="R212" s="101" t="s">
        <v>312</v>
      </c>
      <c r="T212" s="101"/>
    </row>
    <row r="213" spans="3:20" ht="12" x14ac:dyDescent="0.2">
      <c r="C213" s="145" t="str">
        <f t="shared" si="25"/>
        <v>Paquete 499Residencial</v>
      </c>
      <c r="D213" s="93">
        <f t="shared" si="26"/>
        <v>8</v>
      </c>
      <c r="E213" s="146" t="str">
        <v>Paquete 499</v>
      </c>
      <c r="F213" s="146" t="str">
        <f t="shared" si="28"/>
        <v>Residencial</v>
      </c>
      <c r="G213" s="146" t="str">
        <f t="shared" si="29"/>
        <v>Telefonía fija + Internet fijo</v>
      </c>
      <c r="H213" s="19" t="s">
        <v>330</v>
      </c>
      <c r="I213" s="156"/>
      <c r="J213" s="156"/>
      <c r="K213" s="156"/>
      <c r="L213" s="156"/>
      <c r="M213" s="156"/>
      <c r="N213" s="156"/>
      <c r="O213" s="159">
        <f t="shared" si="27"/>
        <v>406553.76937683951</v>
      </c>
      <c r="P213" s="159">
        <f t="shared" si="27"/>
        <v>404804.12669400731</v>
      </c>
      <c r="R213" s="101" t="s">
        <v>312</v>
      </c>
      <c r="T213" s="101"/>
    </row>
    <row r="214" spans="3:20" ht="12" x14ac:dyDescent="0.2">
      <c r="C214" s="145" t="str">
        <f t="shared" si="25"/>
        <v>Paquete 599Residencial</v>
      </c>
      <c r="D214" s="93">
        <f t="shared" si="26"/>
        <v>9</v>
      </c>
      <c r="E214" s="146" t="str">
        <v>Paquete 599</v>
      </c>
      <c r="F214" s="146" t="str">
        <f t="shared" si="28"/>
        <v>Residencial</v>
      </c>
      <c r="G214" s="146" t="str">
        <f t="shared" si="29"/>
        <v>Telefonía fija + Internet fijo</v>
      </c>
      <c r="H214" s="19" t="s">
        <v>330</v>
      </c>
      <c r="I214" s="156"/>
      <c r="J214" s="156"/>
      <c r="K214" s="156"/>
      <c r="L214" s="156"/>
      <c r="M214" s="156"/>
      <c r="N214" s="156"/>
      <c r="O214" s="159">
        <f t="shared" si="27"/>
        <v>394606.83038371778</v>
      </c>
      <c r="P214" s="159">
        <f t="shared" si="27"/>
        <v>312350.84333500621</v>
      </c>
      <c r="R214" s="101" t="s">
        <v>312</v>
      </c>
      <c r="T214" s="101"/>
    </row>
    <row r="215" spans="3:20" ht="12" x14ac:dyDescent="0.2">
      <c r="C215" s="145" t="str">
        <f t="shared" si="25"/>
        <v>Paquete 649Residencial</v>
      </c>
      <c r="D215" s="93">
        <f t="shared" si="26"/>
        <v>10</v>
      </c>
      <c r="E215" s="146" t="str">
        <v>Paquete 649</v>
      </c>
      <c r="F215" s="146" t="str">
        <f t="shared" si="28"/>
        <v>Residencial</v>
      </c>
      <c r="G215" s="146" t="str">
        <f t="shared" si="29"/>
        <v>Telefonía fija + Internet fijo</v>
      </c>
      <c r="H215" s="19" t="s">
        <v>330</v>
      </c>
      <c r="I215" s="156"/>
      <c r="J215" s="156"/>
      <c r="K215" s="156"/>
      <c r="L215" s="156"/>
      <c r="M215" s="156"/>
      <c r="N215" s="156"/>
      <c r="O215" s="159">
        <f t="shared" si="27"/>
        <v>180830.01508912939</v>
      </c>
      <c r="P215" s="159">
        <f t="shared" si="27"/>
        <v>239849.19822960181</v>
      </c>
      <c r="R215" s="101" t="s">
        <v>312</v>
      </c>
      <c r="T215" s="101"/>
    </row>
    <row r="216" spans="3:20" ht="12" x14ac:dyDescent="0.2">
      <c r="C216" s="145" t="str">
        <f t="shared" si="25"/>
        <v>Paquetre 725Residencial</v>
      </c>
      <c r="D216" s="93">
        <f t="shared" si="26"/>
        <v>11</v>
      </c>
      <c r="E216" s="146" t="str">
        <v>Paquetre 725</v>
      </c>
      <c r="F216" s="146" t="str">
        <f t="shared" si="28"/>
        <v>Residencial</v>
      </c>
      <c r="G216" s="146" t="str">
        <f t="shared" si="29"/>
        <v>Telefonía fija + Internet fijo</v>
      </c>
      <c r="H216" s="19" t="s">
        <v>330</v>
      </c>
      <c r="I216" s="156"/>
      <c r="J216" s="156"/>
      <c r="K216" s="156"/>
      <c r="L216" s="156"/>
      <c r="M216" s="156"/>
      <c r="N216" s="156"/>
      <c r="O216" s="159">
        <f t="shared" si="27"/>
        <v>8246.0369902361435</v>
      </c>
      <c r="P216" s="159">
        <f t="shared" si="27"/>
        <v>23963.717037586928</v>
      </c>
      <c r="R216" s="101" t="s">
        <v>312</v>
      </c>
      <c r="T216" s="101"/>
    </row>
    <row r="217" spans="3:20" ht="12" x14ac:dyDescent="0.2">
      <c r="C217" s="145" t="str">
        <f t="shared" si="25"/>
        <v>Paquete Infinitum 999Residencial</v>
      </c>
      <c r="D217" s="93">
        <f t="shared" si="26"/>
        <v>12</v>
      </c>
      <c r="E217" s="146" t="str">
        <v>Paquete Infinitum 999</v>
      </c>
      <c r="F217" s="146" t="str">
        <f t="shared" si="28"/>
        <v>Residencial</v>
      </c>
      <c r="G217" s="146" t="str">
        <f t="shared" si="29"/>
        <v>Telefonía fija + Internet fijo</v>
      </c>
      <c r="H217" s="19" t="s">
        <v>330</v>
      </c>
      <c r="I217" s="156"/>
      <c r="J217" s="156"/>
      <c r="K217" s="156"/>
      <c r="L217" s="156"/>
      <c r="M217" s="156"/>
      <c r="N217" s="156"/>
      <c r="O217" s="159">
        <f t="shared" si="27"/>
        <v>50426.418325166429</v>
      </c>
      <c r="P217" s="159">
        <f t="shared" si="27"/>
        <v>57894.571026927151</v>
      </c>
      <c r="R217" s="101" t="s">
        <v>312</v>
      </c>
      <c r="T217" s="101"/>
    </row>
    <row r="218" spans="3:20" ht="12" x14ac:dyDescent="0.2">
      <c r="C218" s="145" t="str">
        <f t="shared" si="25"/>
        <v>Paquete 1399Residencial</v>
      </c>
      <c r="D218" s="93">
        <f t="shared" si="26"/>
        <v>13</v>
      </c>
      <c r="E218" s="146" t="str">
        <v>Paquete 1399</v>
      </c>
      <c r="F218" s="146" t="str">
        <f t="shared" si="28"/>
        <v>Residencial</v>
      </c>
      <c r="G218" s="146" t="str">
        <f t="shared" si="29"/>
        <v>Telefonía fija + Internet fijo</v>
      </c>
      <c r="H218" s="19" t="s">
        <v>330</v>
      </c>
      <c r="I218" s="156"/>
      <c r="J218" s="156"/>
      <c r="K218" s="156"/>
      <c r="L218" s="156"/>
      <c r="M218" s="156"/>
      <c r="N218" s="156"/>
      <c r="O218" s="159">
        <f t="shared" si="27"/>
        <v>16300.123888325437</v>
      </c>
      <c r="P218" s="159">
        <f t="shared" si="27"/>
        <v>15868.27424292063</v>
      </c>
      <c r="R218" s="101" t="s">
        <v>312</v>
      </c>
      <c r="T218" s="101"/>
    </row>
    <row r="219" spans="3:20" ht="12" x14ac:dyDescent="0.2">
      <c r="C219" s="145" t="str">
        <f t="shared" si="25"/>
        <v>Paquete Conectes NegocioNo residencial</v>
      </c>
      <c r="D219" s="93">
        <f t="shared" si="26"/>
        <v>14</v>
      </c>
      <c r="E219" s="146" t="str">
        <v>Paquete Conectes Negocio</v>
      </c>
      <c r="F219" s="146" t="str">
        <f t="shared" si="28"/>
        <v>No residencial</v>
      </c>
      <c r="G219" s="146" t="str">
        <f t="shared" si="29"/>
        <v>Telefonía fija + Internet fijo</v>
      </c>
      <c r="H219" s="19" t="s">
        <v>330</v>
      </c>
      <c r="I219" s="156"/>
      <c r="J219" s="156"/>
      <c r="K219" s="156"/>
      <c r="L219" s="156"/>
      <c r="M219" s="156"/>
      <c r="N219" s="156"/>
      <c r="O219" s="159">
        <f t="shared" si="27"/>
        <v>651030.4396805797</v>
      </c>
      <c r="P219" s="159">
        <f t="shared" si="27"/>
        <v>499011.20941211493</v>
      </c>
      <c r="R219" s="101" t="s">
        <v>312</v>
      </c>
      <c r="T219" s="101"/>
    </row>
    <row r="220" spans="3:20" ht="12" x14ac:dyDescent="0.2">
      <c r="C220" s="145" t="str">
        <f t="shared" si="25"/>
        <v>Paquete Mi NegocioNo residencial</v>
      </c>
      <c r="D220" s="93">
        <f t="shared" si="26"/>
        <v>15</v>
      </c>
      <c r="E220" s="146" t="str">
        <v>Paquete Mi Negocio</v>
      </c>
      <c r="F220" s="146" t="str">
        <f t="shared" si="28"/>
        <v>No residencial</v>
      </c>
      <c r="G220" s="146" t="str">
        <f t="shared" si="29"/>
        <v>Telefonía fija + Internet fijo</v>
      </c>
      <c r="H220" s="19" t="s">
        <v>330</v>
      </c>
      <c r="I220" s="156"/>
      <c r="J220" s="156"/>
      <c r="K220" s="156"/>
      <c r="L220" s="156"/>
      <c r="M220" s="156"/>
      <c r="N220" s="156"/>
      <c r="O220" s="159">
        <f t="shared" si="27"/>
        <v>304830.64316844719</v>
      </c>
      <c r="P220" s="159">
        <f t="shared" si="27"/>
        <v>294174.93835641921</v>
      </c>
      <c r="R220" s="101" t="s">
        <v>312</v>
      </c>
      <c r="T220" s="101"/>
    </row>
    <row r="221" spans="3:20" ht="12" x14ac:dyDescent="0.2">
      <c r="C221" s="145" t="str">
        <f t="shared" si="25"/>
        <v>Paquete Negocio 649No residencial</v>
      </c>
      <c r="D221" s="93">
        <f t="shared" si="26"/>
        <v>16</v>
      </c>
      <c r="E221" s="146" t="str">
        <v>Paquete Negocio 649</v>
      </c>
      <c r="F221" s="146" t="str">
        <f t="shared" si="28"/>
        <v>No residencial</v>
      </c>
      <c r="G221" s="146" t="str">
        <f t="shared" si="29"/>
        <v>Telefonía fija + Internet fijo</v>
      </c>
      <c r="H221" s="19" t="s">
        <v>330</v>
      </c>
      <c r="I221" s="156"/>
      <c r="J221" s="156"/>
      <c r="K221" s="156"/>
      <c r="L221" s="156"/>
      <c r="M221" s="156"/>
      <c r="N221" s="156"/>
      <c r="O221" s="159">
        <f t="shared" si="27"/>
        <v>17133.934243352476</v>
      </c>
      <c r="P221" s="159">
        <f t="shared" si="27"/>
        <v>26250.327770512544</v>
      </c>
      <c r="R221" s="101" t="s">
        <v>312</v>
      </c>
      <c r="T221" s="101"/>
    </row>
    <row r="222" spans="3:20" ht="12" x14ac:dyDescent="0.2">
      <c r="C222" s="145" t="str">
        <f t="shared" si="25"/>
        <v>Paquete SupernegocioNo residencial</v>
      </c>
      <c r="D222" s="93">
        <f t="shared" si="26"/>
        <v>17</v>
      </c>
      <c r="E222" s="146" t="str">
        <v>Paquete Supernegocio</v>
      </c>
      <c r="F222" s="146" t="str">
        <f t="shared" si="28"/>
        <v>No residencial</v>
      </c>
      <c r="G222" s="146" t="str">
        <f t="shared" si="29"/>
        <v>Telefonía fija + Internet fijo</v>
      </c>
      <c r="H222" s="19" t="s">
        <v>330</v>
      </c>
      <c r="I222" s="156"/>
      <c r="J222" s="156"/>
      <c r="K222" s="156"/>
      <c r="L222" s="156"/>
      <c r="M222" s="156"/>
      <c r="N222" s="156"/>
      <c r="O222" s="159">
        <f t="shared" si="27"/>
        <v>199763.59001541522</v>
      </c>
      <c r="P222" s="159">
        <f t="shared" si="27"/>
        <v>222913.47341271749</v>
      </c>
      <c r="R222" s="101" t="s">
        <v>312</v>
      </c>
      <c r="T222" s="101"/>
    </row>
    <row r="223" spans="3:20" ht="12" x14ac:dyDescent="0.2">
      <c r="C223" s="145" t="str">
        <f t="shared" si="25"/>
        <v>Paquete Negocio 999No residencial</v>
      </c>
      <c r="D223" s="93">
        <f t="shared" si="26"/>
        <v>18</v>
      </c>
      <c r="E223" s="146" t="str">
        <v>Paquete Negocio 999</v>
      </c>
      <c r="F223" s="146" t="str">
        <f t="shared" si="28"/>
        <v>No residencial</v>
      </c>
      <c r="G223" s="146" t="str">
        <f t="shared" si="29"/>
        <v>Telefonía fija + Internet fijo</v>
      </c>
      <c r="H223" s="19" t="s">
        <v>330</v>
      </c>
      <c r="I223" s="156"/>
      <c r="J223" s="156"/>
      <c r="K223" s="156"/>
      <c r="L223" s="156"/>
      <c r="M223" s="156"/>
      <c r="N223" s="156"/>
      <c r="O223" s="159">
        <f t="shared" si="27"/>
        <v>7101.2848569802736</v>
      </c>
      <c r="P223" s="159">
        <f t="shared" si="27"/>
        <v>7442.9087965412436</v>
      </c>
      <c r="R223" s="101" t="s">
        <v>312</v>
      </c>
      <c r="T223" s="101"/>
    </row>
    <row r="224" spans="3:20" ht="12" x14ac:dyDescent="0.2">
      <c r="C224" s="145" t="str">
        <f t="shared" si="25"/>
        <v>Paquete Telmex Negocio Ilimitado 1No residencial</v>
      </c>
      <c r="D224" s="93">
        <f t="shared" si="26"/>
        <v>19</v>
      </c>
      <c r="E224" s="146" t="str">
        <v>Paquete Telmex Negocio Ilimitado 1</v>
      </c>
      <c r="F224" s="146" t="str">
        <f t="shared" si="28"/>
        <v>No residencial</v>
      </c>
      <c r="G224" s="146" t="str">
        <f t="shared" si="29"/>
        <v>Telefonía fija + Internet fijo</v>
      </c>
      <c r="H224" s="19" t="s">
        <v>330</v>
      </c>
      <c r="I224" s="156"/>
      <c r="J224" s="156"/>
      <c r="K224" s="156"/>
      <c r="L224" s="156"/>
      <c r="M224" s="156"/>
      <c r="N224" s="156"/>
      <c r="O224" s="159">
        <f t="shared" si="27"/>
        <v>41092.08511112936</v>
      </c>
      <c r="P224" s="159">
        <f t="shared" si="27"/>
        <v>55225.030678855321</v>
      </c>
      <c r="R224" s="101" t="s">
        <v>312</v>
      </c>
      <c r="T224" s="101"/>
    </row>
    <row r="225" spans="1:55" ht="12" x14ac:dyDescent="0.2">
      <c r="C225" s="145" t="str">
        <f t="shared" si="25"/>
        <v>Paquete Telmex Negocio Ilimitado 2No residencial</v>
      </c>
      <c r="D225" s="93">
        <f t="shared" si="26"/>
        <v>20</v>
      </c>
      <c r="E225" s="146" t="str">
        <v>Paquete Telmex Negocio Ilimitado 2</v>
      </c>
      <c r="F225" s="146" t="str">
        <f t="shared" si="28"/>
        <v>No residencial</v>
      </c>
      <c r="G225" s="146" t="str">
        <f t="shared" si="29"/>
        <v>Telefonía fija + Internet fijo</v>
      </c>
      <c r="H225" s="19" t="s">
        <v>330</v>
      </c>
      <c r="I225" s="156"/>
      <c r="J225" s="156"/>
      <c r="K225" s="156"/>
      <c r="L225" s="156"/>
      <c r="M225" s="156"/>
      <c r="N225" s="156"/>
      <c r="O225" s="159">
        <f t="shared" si="27"/>
        <v>17544.759553693922</v>
      </c>
      <c r="P225" s="159">
        <f t="shared" si="27"/>
        <v>16650.583910140584</v>
      </c>
      <c r="R225" s="101" t="s">
        <v>312</v>
      </c>
      <c r="T225" s="101"/>
    </row>
    <row r="226" spans="1:55" ht="12.6" thickBot="1" x14ac:dyDescent="0.25">
      <c r="C226" s="145" t="str">
        <f t="shared" si="25"/>
        <v>Paquete Telmex Negocio Ilimitado 3No residencial</v>
      </c>
      <c r="D226" s="93">
        <f t="shared" si="26"/>
        <v>21</v>
      </c>
      <c r="E226" s="146" t="str">
        <v>Paquete Telmex Negocio Ilimitado 3</v>
      </c>
      <c r="F226" s="146" t="str">
        <f t="shared" si="28"/>
        <v>No residencial</v>
      </c>
      <c r="G226" s="146" t="str">
        <f t="shared" si="29"/>
        <v>Telefonía fija + Internet fijo</v>
      </c>
      <c r="H226" s="19" t="s">
        <v>330</v>
      </c>
      <c r="I226" s="156"/>
      <c r="J226" s="156"/>
      <c r="K226" s="156"/>
      <c r="L226" s="156"/>
      <c r="M226" s="156"/>
      <c r="N226" s="156"/>
      <c r="O226" s="159">
        <f>IFERROR(VLOOKUP($C226,AEP.broadband.subs.by.plan,O$203,FALSE),0)</f>
        <v>18296.925978124564</v>
      </c>
      <c r="P226" s="159">
        <f>IFERROR(VLOOKUP($C226,AEP.broadband.subs.by.plan,P$203,FALSE),0)</f>
        <v>21855.319371376139</v>
      </c>
      <c r="R226" s="101"/>
      <c r="T226" s="101"/>
    </row>
    <row r="227" spans="1:55" ht="12" x14ac:dyDescent="0.2">
      <c r="E227" s="153"/>
      <c r="F227" s="53"/>
      <c r="G227" s="53"/>
      <c r="H227" s="53"/>
      <c r="I227" s="53"/>
      <c r="J227" s="53"/>
      <c r="K227" s="53"/>
      <c r="L227" s="53"/>
      <c r="M227" s="53"/>
      <c r="N227" s="53"/>
      <c r="O227" s="154" t="s">
        <v>357</v>
      </c>
      <c r="P227" s="154"/>
      <c r="Q227" s="53"/>
      <c r="R227" s="53"/>
    </row>
    <row r="231" spans="1:55" ht="12" x14ac:dyDescent="0.2">
      <c r="A231" s="99" t="s">
        <v>358</v>
      </c>
      <c r="B231" s="99" t="s">
        <v>292</v>
      </c>
      <c r="C231" s="76"/>
      <c r="D231" s="76"/>
      <c r="E231" s="76"/>
      <c r="F231" s="76"/>
      <c r="G231" s="76"/>
      <c r="H231" s="76"/>
      <c r="I231" s="76"/>
      <c r="J231" s="76"/>
      <c r="K231" s="76"/>
      <c r="L231" s="76"/>
      <c r="M231" s="76"/>
      <c r="N231" s="76"/>
      <c r="O231" s="76"/>
      <c r="P231" s="76"/>
      <c r="Q231" s="76"/>
      <c r="R231" s="76"/>
      <c r="S231" s="76"/>
      <c r="T231" s="76"/>
      <c r="U231" s="76"/>
      <c r="V231" s="76"/>
      <c r="W231" s="76"/>
      <c r="X231" s="76"/>
      <c r="Y231" s="76"/>
      <c r="Z231" s="76"/>
      <c r="AA231" s="76"/>
      <c r="AB231" s="76"/>
      <c r="AC231" s="76"/>
      <c r="AD231" s="76"/>
      <c r="AE231" s="76"/>
      <c r="AF231" s="76"/>
      <c r="AG231" s="76"/>
      <c r="AH231" s="76"/>
      <c r="AI231" s="76"/>
      <c r="AJ231" s="76"/>
      <c r="AK231" s="76"/>
      <c r="AL231" s="76"/>
      <c r="AM231" s="76"/>
      <c r="AN231" s="76"/>
      <c r="AO231" s="76"/>
      <c r="AP231" s="76"/>
      <c r="AQ231" s="76"/>
      <c r="AR231" s="76"/>
      <c r="AS231" s="76"/>
      <c r="AT231" s="76"/>
      <c r="AU231" s="76"/>
      <c r="AV231" s="76"/>
      <c r="AW231" s="76"/>
      <c r="AX231" s="76"/>
      <c r="AY231" s="76"/>
      <c r="AZ231" s="76"/>
      <c r="BA231" s="76"/>
      <c r="BB231" s="76"/>
      <c r="BC231" s="76"/>
    </row>
    <row r="235" spans="1:55" x14ac:dyDescent="0.2">
      <c r="N235" s="82"/>
    </row>
    <row r="243" spans="14:14" x14ac:dyDescent="0.2">
      <c r="N243" s="82"/>
    </row>
  </sheetData>
  <mergeCells count="1">
    <mergeCell ref="Y11:AE11"/>
  </mergeCells>
  <pageMargins left="0.7" right="0.7" top="0.75" bottom="0.75" header="0.3" footer="0.3"/>
  <pageSetup orientation="portrait" r:id="rId1"/>
  <ignoredErrors>
    <ignoredError sqref="O67:P67 N112 N134:P134 I134:M134 N147:O150 M147 O171:O172 O179:O198 O208 D207:D225 D180:D198 D164 D172 D68:D100 D22:D53 D54:D59 D101:D105 O22:O59 P21:P59 O68:P105 N114 N116 O116 O114 O112 O111 O113 O115 O117 P111:P118 P147:P155 P179:P180 P171:P172 P163:P164 P208:P226 P181:P199 O151:O155" unlockedFormula="1"/>
    <ignoredError sqref="C181:C198 C208:C225" evalError="1"/>
  </ignoredError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67450-FC9A-4FFF-B874-8E99CEABE25E}">
  <sheetPr codeName="Hoja7"/>
  <dimension ref="A1:BJ426"/>
  <sheetViews>
    <sheetView showGridLines="0" topLeftCell="A118" zoomScale="112" zoomScaleNormal="85" workbookViewId="0">
      <selection activeCell="J261" sqref="J261"/>
    </sheetView>
  </sheetViews>
  <sheetFormatPr baseColWidth="10" defaultRowHeight="11.4" x14ac:dyDescent="0.2"/>
  <cols>
    <col min="1" max="1" width="10.625" customWidth="1"/>
    <col min="2" max="2" width="12.125" bestFit="1" customWidth="1"/>
    <col min="3" max="3" width="4.125" customWidth="1"/>
    <col min="4" max="4" width="50.875" customWidth="1"/>
    <col min="5" max="5" width="16.125" customWidth="1"/>
    <col min="6" max="6" width="24.375" customWidth="1"/>
    <col min="7" max="7" width="24.625" customWidth="1"/>
    <col min="8" max="8" width="18.125" customWidth="1"/>
    <col min="9" max="9" width="20.875" customWidth="1"/>
    <col min="10" max="10" width="21.125" customWidth="1"/>
    <col min="11" max="11" width="20.125" customWidth="1"/>
    <col min="12" max="12" width="18.125" customWidth="1"/>
    <col min="13" max="13" width="18.875" customWidth="1"/>
    <col min="14" max="14" width="18.625" customWidth="1"/>
    <col min="15" max="15" width="19" customWidth="1"/>
    <col min="16" max="29" width="18.375" customWidth="1"/>
    <col min="30" max="30" width="18.625" customWidth="1"/>
  </cols>
  <sheetData>
    <row r="1" spans="1:62" s="87" customFormat="1" ht="33.75" customHeight="1" x14ac:dyDescent="0.2">
      <c r="C1" s="87" t="s">
        <v>359</v>
      </c>
    </row>
    <row r="2" spans="1:62" ht="12" x14ac:dyDescent="0.2">
      <c r="A2" s="99">
        <v>1</v>
      </c>
      <c r="B2" s="99" t="s">
        <v>360</v>
      </c>
      <c r="C2" s="76"/>
      <c r="D2" s="76"/>
      <c r="E2" s="76"/>
      <c r="F2" s="76"/>
      <c r="G2" s="76"/>
      <c r="H2" s="76"/>
      <c r="I2" s="76"/>
      <c r="J2" s="76"/>
      <c r="K2" s="76"/>
      <c r="L2" s="76"/>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c r="BG2" s="76"/>
      <c r="BH2" s="76"/>
      <c r="BI2" s="76"/>
      <c r="BJ2" s="76"/>
    </row>
    <row r="5" spans="1:62" ht="36" x14ac:dyDescent="0.2">
      <c r="C5" s="73" t="s">
        <v>158</v>
      </c>
      <c r="D5" s="72" t="s">
        <v>212</v>
      </c>
      <c r="E5" s="73"/>
      <c r="F5" s="43" t="s">
        <v>213</v>
      </c>
      <c r="G5" s="43" t="s">
        <v>361</v>
      </c>
      <c r="H5" s="43" t="s">
        <v>362</v>
      </c>
      <c r="I5" s="43" t="s">
        <v>363</v>
      </c>
      <c r="J5" s="43" t="s">
        <v>214</v>
      </c>
      <c r="K5" s="43" t="s">
        <v>364</v>
      </c>
      <c r="L5" s="43" t="s">
        <v>215</v>
      </c>
      <c r="M5" s="43"/>
    </row>
    <row r="6" spans="1:62" x14ac:dyDescent="0.2">
      <c r="C6" s="100">
        <v>1</v>
      </c>
      <c r="D6" t="s">
        <v>365</v>
      </c>
      <c r="F6" s="19" t="s">
        <v>366</v>
      </c>
      <c r="G6" s="170">
        <v>20</v>
      </c>
      <c r="H6" s="76"/>
      <c r="I6" s="76"/>
      <c r="K6" s="105" t="s">
        <v>367</v>
      </c>
      <c r="L6" t="s">
        <v>368</v>
      </c>
    </row>
    <row r="7" spans="1:62" ht="12" x14ac:dyDescent="0.2">
      <c r="C7" s="93">
        <f>1+C6</f>
        <v>2</v>
      </c>
      <c r="D7" t="s">
        <v>369</v>
      </c>
      <c r="F7" s="19" t="s">
        <v>370</v>
      </c>
      <c r="G7" s="170">
        <v>25</v>
      </c>
      <c r="H7" s="171">
        <v>1</v>
      </c>
      <c r="I7" s="172">
        <f>G7/H7</f>
        <v>25</v>
      </c>
      <c r="J7" s="82" t="s">
        <v>371</v>
      </c>
      <c r="K7" s="105" t="s">
        <v>367</v>
      </c>
      <c r="L7" t="s">
        <v>372</v>
      </c>
    </row>
    <row r="8" spans="1:62" ht="12" x14ac:dyDescent="0.2">
      <c r="C8" s="93">
        <f>1+C7</f>
        <v>3</v>
      </c>
      <c r="D8" t="s">
        <v>373</v>
      </c>
      <c r="F8" s="19" t="s">
        <v>370</v>
      </c>
      <c r="G8" s="170">
        <v>50</v>
      </c>
      <c r="H8" s="171">
        <v>3</v>
      </c>
      <c r="I8" s="172">
        <f>G8/H8</f>
        <v>16.666666666666668</v>
      </c>
      <c r="J8" s="82" t="s">
        <v>374</v>
      </c>
      <c r="K8" s="105" t="s">
        <v>367</v>
      </c>
      <c r="L8" t="s">
        <v>372</v>
      </c>
    </row>
    <row r="9" spans="1:62" ht="12" x14ac:dyDescent="0.2">
      <c r="C9" s="93">
        <f>1+C8</f>
        <v>4</v>
      </c>
      <c r="D9" t="s">
        <v>375</v>
      </c>
      <c r="F9" s="19" t="s">
        <v>370</v>
      </c>
      <c r="G9" s="170">
        <v>65</v>
      </c>
      <c r="H9" s="171">
        <v>4</v>
      </c>
      <c r="I9" s="172">
        <f>G9/H9</f>
        <v>16.25</v>
      </c>
      <c r="J9" s="82" t="s">
        <v>376</v>
      </c>
      <c r="K9" s="105" t="s">
        <v>367</v>
      </c>
      <c r="L9" t="s">
        <v>372</v>
      </c>
    </row>
    <row r="10" spans="1:62" ht="12.6" thickBot="1" x14ac:dyDescent="0.25">
      <c r="C10" s="93">
        <f>1+C9</f>
        <v>5</v>
      </c>
      <c r="D10" t="s">
        <v>377</v>
      </c>
      <c r="F10" s="19" t="s">
        <v>370</v>
      </c>
      <c r="G10" s="170">
        <v>80</v>
      </c>
      <c r="H10" s="171">
        <v>5</v>
      </c>
      <c r="I10" s="172">
        <f>G10/H10</f>
        <v>16</v>
      </c>
      <c r="J10" s="82" t="s">
        <v>378</v>
      </c>
      <c r="K10" s="105" t="s">
        <v>367</v>
      </c>
      <c r="L10" t="s">
        <v>372</v>
      </c>
    </row>
    <row r="11" spans="1:62" x14ac:dyDescent="0.2">
      <c r="D11" s="53"/>
      <c r="E11" s="53"/>
      <c r="F11" s="53"/>
      <c r="G11" s="53"/>
      <c r="H11" s="53"/>
      <c r="I11" s="53"/>
      <c r="J11" s="53"/>
      <c r="K11" s="53"/>
      <c r="L11" s="53"/>
      <c r="M11" s="53"/>
    </row>
    <row r="12" spans="1:62" ht="12" x14ac:dyDescent="0.2">
      <c r="A12" s="99">
        <v>2</v>
      </c>
      <c r="B12" s="99" t="s">
        <v>383</v>
      </c>
      <c r="C12" s="76"/>
      <c r="D12" s="76"/>
      <c r="E12" s="76"/>
      <c r="F12" s="76"/>
      <c r="G12" s="76"/>
      <c r="H12" s="76"/>
      <c r="I12" s="76"/>
      <c r="J12" s="76"/>
      <c r="K12" s="76"/>
      <c r="L12" s="76"/>
      <c r="M12" s="76"/>
      <c r="N12" s="76"/>
      <c r="O12" s="76"/>
      <c r="P12" s="76"/>
      <c r="Q12" s="76"/>
      <c r="R12" s="76"/>
      <c r="S12" s="76"/>
      <c r="T12" s="76"/>
      <c r="U12" s="76"/>
      <c r="V12" s="76"/>
      <c r="W12" s="76"/>
      <c r="X12" s="76"/>
      <c r="Y12" s="76"/>
      <c r="Z12" s="76"/>
      <c r="AA12" s="76"/>
      <c r="AB12" s="76"/>
      <c r="AC12" s="76"/>
      <c r="AD12" s="76"/>
      <c r="AE12" s="76"/>
      <c r="AF12" s="76"/>
      <c r="AG12" s="76"/>
      <c r="AH12" s="76"/>
      <c r="AI12" s="76"/>
      <c r="AJ12" s="76"/>
      <c r="AK12" s="76"/>
      <c r="AL12" s="76"/>
      <c r="AM12" s="76"/>
      <c r="AN12" s="76"/>
      <c r="AO12" s="76"/>
      <c r="AP12" s="76"/>
      <c r="AQ12" s="76"/>
      <c r="AR12" s="76"/>
      <c r="AS12" s="76"/>
      <c r="AT12" s="76"/>
      <c r="AU12" s="76"/>
      <c r="AV12" s="76"/>
      <c r="AW12" s="76"/>
      <c r="AX12" s="76"/>
      <c r="AY12" s="76"/>
      <c r="AZ12" s="76"/>
      <c r="BA12" s="76"/>
      <c r="BB12" s="76"/>
      <c r="BC12" s="76"/>
      <c r="BD12" s="76"/>
      <c r="BE12" s="76"/>
      <c r="BF12" s="76"/>
      <c r="BG12" s="76"/>
      <c r="BH12" s="76"/>
      <c r="BI12" s="76"/>
      <c r="BJ12" s="76"/>
    </row>
    <row r="14" spans="1:62" ht="12" x14ac:dyDescent="0.2">
      <c r="C14" s="129" t="s">
        <v>384</v>
      </c>
      <c r="H14" s="100">
        <v>7</v>
      </c>
      <c r="I14" s="93">
        <v>8</v>
      </c>
      <c r="J14" s="93">
        <v>0</v>
      </c>
    </row>
    <row r="15" spans="1:62" ht="12" x14ac:dyDescent="0.2">
      <c r="H15" s="81" t="str">
        <f>"Distribución "&amp;Year.selected&amp;" de suscriptores por medio de transmisión"</f>
        <v>Distribución 2025 de suscriptores por medio de transmisión</v>
      </c>
      <c r="I15" s="81"/>
    </row>
    <row r="16" spans="1:62" ht="36" x14ac:dyDescent="0.2">
      <c r="C16" s="72" t="s">
        <v>158</v>
      </c>
      <c r="D16" s="72" t="s">
        <v>379</v>
      </c>
      <c r="E16" s="43" t="s">
        <v>385</v>
      </c>
      <c r="F16" s="43" t="s">
        <v>310</v>
      </c>
      <c r="G16" s="43" t="s">
        <v>311</v>
      </c>
      <c r="H16" s="43" t="s">
        <v>386</v>
      </c>
      <c r="I16" s="43" t="s">
        <v>387</v>
      </c>
      <c r="J16" s="43" t="s">
        <v>64</v>
      </c>
      <c r="K16" s="43"/>
      <c r="L16" s="43"/>
      <c r="M16" s="43" t="s">
        <v>215</v>
      </c>
    </row>
    <row r="17" spans="3:11" x14ac:dyDescent="0.2">
      <c r="C17" s="100">
        <v>1</v>
      </c>
      <c r="D17" s="146" t="str">
        <f t="array" ref="D17:D55">vector.broadband.plans.names</f>
        <v>Paquete 249</v>
      </c>
      <c r="E17" s="177">
        <f t="shared" ref="E17:E55" si="0">H63</f>
        <v>15</v>
      </c>
      <c r="F17" s="174" t="str">
        <f>VLOOKUP($D17,'Planes y paquetes'!$C$661:$L$699,2,FALSE)</f>
        <v>Residencial</v>
      </c>
      <c r="G17" s="174" t="str">
        <f>VLOOKUP($D17,'Planes y paquetes'!$C$661:$L$699,3,FALSE)</f>
        <v>Telefonía fija + Internet fijo</v>
      </c>
      <c r="H17" s="178">
        <f>IFERROR(VLOOKUP($D17,$D$63:$K$101,H$14,FALSE)/SUM(VLOOKUP($D17,$D$63:$K101,H$14,FALSE),VLOOKUP($D17,$D$63:$K$101,I$14,FALSE)),"")</f>
        <v>0.18686324396991344</v>
      </c>
      <c r="I17" s="178">
        <f t="shared" ref="I17:I55" si="1">IFERROR(VLOOKUP($D17,$D$63:$K$101,I$14,FALSE)/SUM(VLOOKUP($D17,$D$63:$K$101,H$14,FALSE),VLOOKUP($D17,$D$63:$K$101,I$14,FALSE)),"")</f>
        <v>0.8131367560300865</v>
      </c>
      <c r="J17" s="178">
        <f>SUM(H17:I17)</f>
        <v>1</v>
      </c>
      <c r="K17" s="179"/>
    </row>
    <row r="18" spans="3:11" x14ac:dyDescent="0.2">
      <c r="C18" s="93">
        <f>1+C17</f>
        <v>2</v>
      </c>
      <c r="D18" s="146" t="str">
        <v>Paquete 289</v>
      </c>
      <c r="E18" s="177">
        <f t="shared" si="0"/>
        <v>15</v>
      </c>
      <c r="F18" s="174" t="str">
        <f>VLOOKUP($D18,'Planes y paquetes'!$C$661:$L$699,2,FALSE)</f>
        <v>Residencial</v>
      </c>
      <c r="G18" s="174" t="str">
        <f>VLOOKUP($D18,'Planes y paquetes'!$C$661:$L$699,3,FALSE)</f>
        <v>Telefonía fija + Internet fijo</v>
      </c>
      <c r="H18" s="178">
        <f>IFERROR(VLOOKUP($D18,$D$63:$K$101,H$14,FALSE)/SUM(VLOOKUP($D18,$D$63:$K102,H$14,FALSE),VLOOKUP($D18,$D$63:$K$101,I$14,FALSE)),"")</f>
        <v>0.24851773691086324</v>
      </c>
      <c r="I18" s="178">
        <f t="shared" si="1"/>
        <v>0.75148226308913679</v>
      </c>
      <c r="J18" s="178">
        <f>SUM(H18:I18)</f>
        <v>1</v>
      </c>
      <c r="K18" s="179"/>
    </row>
    <row r="19" spans="3:11" x14ac:dyDescent="0.2">
      <c r="C19" s="93">
        <f t="shared" ref="C19:C55" si="2">1+C18</f>
        <v>3</v>
      </c>
      <c r="D19" s="146" t="str">
        <v>Paquete 333</v>
      </c>
      <c r="E19" s="177">
        <f t="shared" si="0"/>
        <v>15</v>
      </c>
      <c r="F19" s="174" t="str">
        <f>VLOOKUP($D19,'Planes y paquetes'!$C$661:$L$699,2,FALSE)</f>
        <v>Residencial</v>
      </c>
      <c r="G19" s="174" t="str">
        <f>VLOOKUP($D19,'Planes y paquetes'!$C$661:$L$699,3,FALSE)</f>
        <v>Telefonía fija + Internet fijo</v>
      </c>
      <c r="H19" s="178">
        <f>IFERROR(VLOOKUP($D19,$D$63:$K$101,H$14,FALSE)/SUM(VLOOKUP($D19,$D$63:$K103,H$14,FALSE),VLOOKUP($D19,$D$63:$K$101,I$14,FALSE)),"")</f>
        <v>0.18309361800377569</v>
      </c>
      <c r="I19" s="178">
        <f t="shared" si="1"/>
        <v>0.81690638199622434</v>
      </c>
      <c r="J19" s="178">
        <f>SUM(H19:I19)</f>
        <v>1</v>
      </c>
      <c r="K19" s="179"/>
    </row>
    <row r="20" spans="3:11" x14ac:dyDescent="0.2">
      <c r="C20" s="93">
        <f t="shared" si="2"/>
        <v>4</v>
      </c>
      <c r="D20" s="146" t="str">
        <v>Paquete 389</v>
      </c>
      <c r="E20" s="177">
        <f t="shared" si="0"/>
        <v>80</v>
      </c>
      <c r="F20" s="174" t="str">
        <f>VLOOKUP($D20,'Planes y paquetes'!$C$661:$L$699,2,FALSE)</f>
        <v>Residencial</v>
      </c>
      <c r="G20" s="174" t="str">
        <f>VLOOKUP($D20,'Planes y paquetes'!$C$661:$L$699,3,FALSE)</f>
        <v>Telefonía fija + Internet fijo</v>
      </c>
      <c r="H20" s="178">
        <f>IFERROR(VLOOKUP($D20,$D$63:$K$101,H$14,FALSE)/SUM(VLOOKUP($D20,$D$63:$K104,H$14,FALSE),VLOOKUP($D20,$D$63:$K$101,I$14,FALSE)),"")</f>
        <v>0.19162052777969446</v>
      </c>
      <c r="I20" s="178">
        <f t="shared" si="1"/>
        <v>0.80837947222030559</v>
      </c>
      <c r="J20" s="178">
        <f>SUM(H20:I20)</f>
        <v>1</v>
      </c>
      <c r="K20" s="179"/>
    </row>
    <row r="21" spans="3:11" x14ac:dyDescent="0.2">
      <c r="C21" s="93">
        <f t="shared" si="2"/>
        <v>5</v>
      </c>
      <c r="D21" s="146" t="str">
        <v>Paquete 435</v>
      </c>
      <c r="E21" s="177">
        <f t="shared" si="0"/>
        <v>100</v>
      </c>
      <c r="F21" s="174" t="str">
        <f>VLOOKUP($D21,'Planes y paquetes'!$C$661:$L$699,2,FALSE)</f>
        <v>Residencial</v>
      </c>
      <c r="G21" s="174" t="str">
        <f>VLOOKUP($D21,'Planes y paquetes'!$C$661:$L$699,3,FALSE)</f>
        <v>Telefonía fija + Internet fijo</v>
      </c>
      <c r="H21" s="178">
        <f>IFERROR(VLOOKUP($D21,$D$63:$K$101,H$14,FALSE)/SUM(VLOOKUP($D21,$D$63:$K105,H$14,FALSE),VLOOKUP($D21,$D$63:$K$101,I$14,FALSE)),"")</f>
        <v>4.7792956861672869E-2</v>
      </c>
      <c r="I21" s="178">
        <f t="shared" si="1"/>
        <v>0.95220704313832716</v>
      </c>
      <c r="J21" s="178">
        <f t="shared" ref="J21:J55" si="3">SUM(H21:I21)</f>
        <v>1</v>
      </c>
      <c r="K21" s="179"/>
    </row>
    <row r="22" spans="3:11" x14ac:dyDescent="0.2">
      <c r="C22" s="93">
        <f t="shared" si="2"/>
        <v>6</v>
      </c>
      <c r="D22" s="146" t="str">
        <v>Paquete 499</v>
      </c>
      <c r="E22" s="177">
        <f t="shared" si="0"/>
        <v>150</v>
      </c>
      <c r="F22" s="174" t="str">
        <f>VLOOKUP($D22,'Planes y paquetes'!$C$661:$L$699,2,FALSE)</f>
        <v>Residencial</v>
      </c>
      <c r="G22" s="174" t="str">
        <f>VLOOKUP($D22,'Planes y paquetes'!$C$661:$L$699,3,FALSE)</f>
        <v>Telefonía fija + Internet fijo</v>
      </c>
      <c r="H22" s="178">
        <f>IFERROR(VLOOKUP($D22,$D$63:$K$101,H$14,FALSE)/SUM(VLOOKUP($D22,$D$63:$K106,H$14,FALSE),VLOOKUP($D22,$D$63:$K$101,I$14,FALSE)),"")</f>
        <v>1.7012956477620068E-2</v>
      </c>
      <c r="I22" s="178">
        <f t="shared" si="1"/>
        <v>0.98298704352237998</v>
      </c>
      <c r="J22" s="178">
        <f t="shared" si="3"/>
        <v>1</v>
      </c>
      <c r="K22" s="179"/>
    </row>
    <row r="23" spans="3:11" x14ac:dyDescent="0.2">
      <c r="C23" s="93">
        <f t="shared" si="2"/>
        <v>7</v>
      </c>
      <c r="D23" s="146" t="str">
        <v>Paquete 599</v>
      </c>
      <c r="E23" s="177">
        <f t="shared" si="0"/>
        <v>250</v>
      </c>
      <c r="F23" s="174" t="str">
        <f>VLOOKUP($D23,'Planes y paquetes'!$C$661:$L$699,2,FALSE)</f>
        <v>Residencial</v>
      </c>
      <c r="G23" s="174" t="str">
        <f>VLOOKUP($D23,'Planes y paquetes'!$C$661:$L$699,3,FALSE)</f>
        <v>Telefonía fija + Internet fijo</v>
      </c>
      <c r="H23" s="178">
        <f>IFERROR(VLOOKUP($D23,$D$63:$K$101,H$14,FALSE)/SUM(VLOOKUP($D23,$D$63:$K107,H$14,FALSE),VLOOKUP($D23,$D$63:$K$101,I$14,FALSE)),"")</f>
        <v>8.2228277657649701E-2</v>
      </c>
      <c r="I23" s="178">
        <f t="shared" si="1"/>
        <v>0.91777172234235027</v>
      </c>
      <c r="J23" s="178">
        <f t="shared" si="3"/>
        <v>1</v>
      </c>
      <c r="K23" s="179"/>
    </row>
    <row r="24" spans="3:11" x14ac:dyDescent="0.2">
      <c r="C24" s="93">
        <f t="shared" si="2"/>
        <v>8</v>
      </c>
      <c r="D24" s="146" t="str">
        <v>Paquete 649</v>
      </c>
      <c r="E24" s="177">
        <f t="shared" si="0"/>
        <v>350</v>
      </c>
      <c r="F24" s="174" t="str">
        <f>VLOOKUP($D24,'Planes y paquetes'!$C$661:$L$699,2,FALSE)</f>
        <v>Residencial</v>
      </c>
      <c r="G24" s="174" t="str">
        <f>VLOOKUP($D24,'Planes y paquetes'!$C$661:$L$699,3,FALSE)</f>
        <v>Telefonía fija + Internet fijo</v>
      </c>
      <c r="H24" s="178">
        <f>IFERROR(VLOOKUP($D24,$D$63:$K$101,H$14,FALSE)/SUM(VLOOKUP($D24,$D$63:$K108,H$14,FALSE),VLOOKUP($D24,$D$63:$K$101,I$14,FALSE)),"")</f>
        <v>2.6398574476978241E-4</v>
      </c>
      <c r="I24" s="178">
        <f t="shared" si="1"/>
        <v>0.99973601425523018</v>
      </c>
      <c r="J24" s="178">
        <f t="shared" si="3"/>
        <v>1</v>
      </c>
      <c r="K24" s="179"/>
    </row>
    <row r="25" spans="3:11" x14ac:dyDescent="0.2">
      <c r="C25" s="93">
        <f t="shared" si="2"/>
        <v>9</v>
      </c>
      <c r="D25" s="146" t="str">
        <v>Paquetre 725</v>
      </c>
      <c r="E25" s="177">
        <f t="shared" si="0"/>
        <v>500</v>
      </c>
      <c r="F25" s="174" t="str">
        <f>VLOOKUP($D25,'Planes y paquetes'!$C$661:$L$699,2,FALSE)</f>
        <v>Residencial</v>
      </c>
      <c r="G25" s="174" t="str">
        <f>VLOOKUP($D25,'Planes y paquetes'!$C$661:$L$699,3,FALSE)</f>
        <v>Telefonía fija + Internet fijo</v>
      </c>
      <c r="H25" s="178">
        <f>IFERROR(VLOOKUP($D25,$D$63:$K$101,H$14,FALSE)/SUM(VLOOKUP($D25,$D$63:$K109,H$14,FALSE),VLOOKUP($D25,$D$63:$K$101,I$14,FALSE)),"")</f>
        <v>2.8905143935818783E-3</v>
      </c>
      <c r="I25" s="178">
        <f t="shared" si="1"/>
        <v>0.9971094856064181</v>
      </c>
      <c r="J25" s="178">
        <f t="shared" si="3"/>
        <v>1</v>
      </c>
      <c r="K25" s="179"/>
    </row>
    <row r="26" spans="3:11" x14ac:dyDescent="0.2">
      <c r="C26" s="93">
        <f t="shared" si="2"/>
        <v>10</v>
      </c>
      <c r="D26" s="146" t="str">
        <v>Paquete Infinitum 999</v>
      </c>
      <c r="E26" s="177">
        <f t="shared" si="0"/>
        <v>750</v>
      </c>
      <c r="F26" s="174" t="str">
        <f>VLOOKUP($D26,'Planes y paquetes'!$C$661:$L$699,2,FALSE)</f>
        <v>Residencial</v>
      </c>
      <c r="G26" s="174" t="str">
        <f>VLOOKUP($D26,'Planes y paquetes'!$C$661:$L$699,3,FALSE)</f>
        <v>Telefonía fija + Internet fijo</v>
      </c>
      <c r="H26" s="178">
        <f>IFERROR(VLOOKUP($D26,$D$63:$K$101,H$14,FALSE)/SUM(VLOOKUP($D26,$D$63:$K110,H$14,FALSE),VLOOKUP($D26,$D$63:$K$101,I$14,FALSE)),"")</f>
        <v>1.6498895163270317E-2</v>
      </c>
      <c r="I26" s="178">
        <f t="shared" si="1"/>
        <v>0.9835011048367297</v>
      </c>
      <c r="J26" s="178">
        <f t="shared" si="3"/>
        <v>1</v>
      </c>
      <c r="K26" s="179"/>
    </row>
    <row r="27" spans="3:11" x14ac:dyDescent="0.2">
      <c r="C27" s="93">
        <f t="shared" si="2"/>
        <v>11</v>
      </c>
      <c r="D27" s="146" t="str">
        <v>Paquete 1399</v>
      </c>
      <c r="E27" s="177">
        <f t="shared" si="0"/>
        <v>1000</v>
      </c>
      <c r="F27" s="174" t="str">
        <f>VLOOKUP($D27,'Planes y paquetes'!$C$661:$L$699,2,FALSE)</f>
        <v>Residencial</v>
      </c>
      <c r="G27" s="174" t="str">
        <f>VLOOKUP($D27,'Planes y paquetes'!$C$661:$L$699,3,FALSE)</f>
        <v>Telefonía fija + Internet fijo</v>
      </c>
      <c r="H27" s="178">
        <f>IFERROR(VLOOKUP($D27,$D$63:$K$101,H$14,FALSE)/SUM(VLOOKUP($D27,$D$63:$K111,H$14,FALSE),VLOOKUP($D27,$D$63:$K$101,I$14,FALSE)),"")</f>
        <v>1.1711711711711711E-3</v>
      </c>
      <c r="I27" s="178">
        <f t="shared" si="1"/>
        <v>0.99882882882882884</v>
      </c>
      <c r="J27" s="178">
        <f t="shared" si="3"/>
        <v>1</v>
      </c>
      <c r="K27" s="179"/>
    </row>
    <row r="28" spans="3:11" x14ac:dyDescent="0.2">
      <c r="C28" s="93">
        <f t="shared" si="2"/>
        <v>12</v>
      </c>
      <c r="D28" s="146" t="str">
        <v>Infinitum 279</v>
      </c>
      <c r="E28" s="177">
        <f t="shared" si="0"/>
        <v>30</v>
      </c>
      <c r="F28" s="174" t="str">
        <f>VLOOKUP($D28,'Planes y paquetes'!$C$661:$L$699,2,FALSE)</f>
        <v>Residencial</v>
      </c>
      <c r="G28" s="174" t="str">
        <f>VLOOKUP($D28,'Planes y paquetes'!$C$661:$L$699,3,FALSE)</f>
        <v>Internet fijo</v>
      </c>
      <c r="H28" s="178">
        <f>IFERROR(VLOOKUP($D28,$D$63:$K$101,H$14,FALSE)/SUM(VLOOKUP($D28,$D$63:$K112,H$14,FALSE),VLOOKUP($D28,$D$63:$K$101,I$14,FALSE)),"")</f>
        <v>0.2054801643009411</v>
      </c>
      <c r="I28" s="178">
        <f t="shared" si="1"/>
        <v>0.79451983569905893</v>
      </c>
      <c r="J28" s="178">
        <f t="shared" si="3"/>
        <v>1</v>
      </c>
      <c r="K28" s="179"/>
    </row>
    <row r="29" spans="3:11" x14ac:dyDescent="0.2">
      <c r="C29" s="93">
        <f t="shared" si="2"/>
        <v>13</v>
      </c>
      <c r="D29" s="146" t="str">
        <v>Infinitum 299 R</v>
      </c>
      <c r="E29" s="177">
        <f t="shared" si="0"/>
        <v>40</v>
      </c>
      <c r="F29" s="174" t="str">
        <f>VLOOKUP($D29,'Planes y paquetes'!$C$661:$L$699,2,FALSE)</f>
        <v>Residencial</v>
      </c>
      <c r="G29" s="174" t="str">
        <f>VLOOKUP($D29,'Planes y paquetes'!$C$661:$L$699,3,FALSE)</f>
        <v>Internet fijo</v>
      </c>
      <c r="H29" s="178">
        <f>IFERROR(VLOOKUP($D29,$D$63:$K$101,H$14,FALSE)/SUM(VLOOKUP($D29,$D$63:$K113,H$14,FALSE),VLOOKUP($D29,$D$63:$K$101,I$14,FALSE)),"")</f>
        <v>0.14102564102564102</v>
      </c>
      <c r="I29" s="178">
        <f t="shared" si="1"/>
        <v>0.85897435897435892</v>
      </c>
      <c r="J29" s="178">
        <f t="shared" si="3"/>
        <v>1</v>
      </c>
      <c r="K29" s="179"/>
    </row>
    <row r="30" spans="3:11" x14ac:dyDescent="0.2">
      <c r="C30" s="93">
        <f t="shared" si="2"/>
        <v>14</v>
      </c>
      <c r="D30" s="146" t="str">
        <v>Infinitum 349</v>
      </c>
      <c r="E30" s="177">
        <f t="shared" si="0"/>
        <v>80</v>
      </c>
      <c r="F30" s="174" t="str">
        <f>VLOOKUP($D30,'Planes y paquetes'!$C$661:$L$699,2,FALSE)</f>
        <v>Residencial</v>
      </c>
      <c r="G30" s="174" t="str">
        <f>VLOOKUP($D30,'Planes y paquetes'!$C$661:$L$699,3,FALSE)</f>
        <v>Internet fijo</v>
      </c>
      <c r="H30" s="178">
        <f>IFERROR(VLOOKUP($D30,$D$63:$K$101,H$14,FALSE)/SUM(VLOOKUP($D30,$D$63:$K114,H$14,FALSE),VLOOKUP($D30,$D$63:$K$101,I$14,FALSE)),"")</f>
        <v>0.1212146008996751</v>
      </c>
      <c r="I30" s="178">
        <f t="shared" si="1"/>
        <v>0.87878539910032494</v>
      </c>
      <c r="J30" s="178">
        <f t="shared" si="3"/>
        <v>1</v>
      </c>
      <c r="K30" s="179"/>
    </row>
    <row r="31" spans="3:11" x14ac:dyDescent="0.2">
      <c r="C31" s="93">
        <f t="shared" si="2"/>
        <v>15</v>
      </c>
      <c r="D31" s="146" t="str">
        <v>Infinitum 399</v>
      </c>
      <c r="E31" s="177">
        <f t="shared" si="0"/>
        <v>100</v>
      </c>
      <c r="F31" s="174" t="str">
        <f>VLOOKUP($D31,'Planes y paquetes'!$C$661:$L$699,2,FALSE)</f>
        <v>Residencial</v>
      </c>
      <c r="G31" s="174" t="str">
        <f>VLOOKUP($D31,'Planes y paquetes'!$C$661:$L$699,3,FALSE)</f>
        <v>Internet fijo</v>
      </c>
      <c r="H31" s="178">
        <f>IFERROR(VLOOKUP($D31,$D$63:$K$101,H$14,FALSE)/SUM(VLOOKUP($D31,$D$63:$K115,H$14,FALSE),VLOOKUP($D31,$D$63:$K$101,I$14,FALSE)),"")</f>
        <v>2.360812036238984E-2</v>
      </c>
      <c r="I31" s="178">
        <f t="shared" si="1"/>
        <v>0.9763918796376102</v>
      </c>
      <c r="J31" s="178">
        <f t="shared" si="3"/>
        <v>1</v>
      </c>
      <c r="K31" s="179"/>
    </row>
    <row r="32" spans="3:11" x14ac:dyDescent="0.2">
      <c r="C32" s="93">
        <f t="shared" si="2"/>
        <v>16</v>
      </c>
      <c r="D32" s="146" t="str">
        <v>Infinitum 449</v>
      </c>
      <c r="E32" s="177">
        <f t="shared" si="0"/>
        <v>150</v>
      </c>
      <c r="F32" s="174" t="str">
        <f>VLOOKUP($D32,'Planes y paquetes'!$C$661:$L$699,2,FALSE)</f>
        <v>Residencial</v>
      </c>
      <c r="G32" s="174" t="str">
        <f>VLOOKUP($D32,'Planes y paquetes'!$C$661:$L$699,3,FALSE)</f>
        <v>Internet fijo</v>
      </c>
      <c r="H32" s="178">
        <f>IFERROR(VLOOKUP($D32,$D$63:$K$101,H$14,FALSE)/SUM(VLOOKUP($D32,$D$63:$K116,H$14,FALSE),VLOOKUP($D32,$D$63:$K$101,I$14,FALSE)),"")</f>
        <v>2.2882864809288563E-3</v>
      </c>
      <c r="I32" s="178">
        <f t="shared" si="1"/>
        <v>0.99771171351907117</v>
      </c>
      <c r="J32" s="178">
        <f t="shared" si="3"/>
        <v>1</v>
      </c>
      <c r="K32" s="179"/>
    </row>
    <row r="33" spans="3:11" x14ac:dyDescent="0.2">
      <c r="C33" s="93">
        <f t="shared" si="2"/>
        <v>17</v>
      </c>
      <c r="D33" s="146" t="str">
        <v>Infinitum 499</v>
      </c>
      <c r="E33" s="177">
        <f t="shared" si="0"/>
        <v>250</v>
      </c>
      <c r="F33" s="174" t="str">
        <f>VLOOKUP($D33,'Planes y paquetes'!$C$661:$L$699,2,FALSE)</f>
        <v>Residencial</v>
      </c>
      <c r="G33" s="174" t="str">
        <f>VLOOKUP($D33,'Planes y paquetes'!$C$661:$L$699,3,FALSE)</f>
        <v>Internet fijo</v>
      </c>
      <c r="H33" s="178">
        <f>IFERROR(VLOOKUP($D33,$D$63:$K$101,H$14,FALSE)/SUM(VLOOKUP($D33,$D$63:$K117,H$14,FALSE),VLOOKUP($D33,$D$63:$K$101,I$14,FALSE)),"")</f>
        <v>2.5684931506849314E-3</v>
      </c>
      <c r="I33" s="178">
        <f t="shared" si="1"/>
        <v>0.99743150684931503</v>
      </c>
      <c r="J33" s="178">
        <f t="shared" si="3"/>
        <v>1</v>
      </c>
      <c r="K33" s="179"/>
    </row>
    <row r="34" spans="3:11" x14ac:dyDescent="0.2">
      <c r="C34" s="93">
        <f t="shared" si="2"/>
        <v>18</v>
      </c>
      <c r="D34" s="146" t="str">
        <v>Infinitum 549</v>
      </c>
      <c r="E34" s="177">
        <f t="shared" si="0"/>
        <v>350</v>
      </c>
      <c r="F34" s="174" t="str">
        <f>VLOOKUP($D34,'Planes y paquetes'!$C$661:$L$699,2,FALSE)</f>
        <v>Residencial</v>
      </c>
      <c r="G34" s="174" t="str">
        <f>VLOOKUP($D34,'Planes y paquetes'!$C$661:$L$699,3,FALSE)</f>
        <v>Internet fijo</v>
      </c>
      <c r="H34" s="178">
        <f>IFERROR(VLOOKUP($D34,$D$63:$K$101,H$14,FALSE)/SUM(VLOOKUP($D34,$D$63:$K118,H$14,FALSE),VLOOKUP($D34,$D$63:$K$101,I$14,FALSE)),"")</f>
        <v>1.9261914530652789E-3</v>
      </c>
      <c r="I34" s="178">
        <f t="shared" si="1"/>
        <v>0.99807380854693473</v>
      </c>
      <c r="J34" s="178">
        <f t="shared" si="3"/>
        <v>1</v>
      </c>
      <c r="K34" s="179"/>
    </row>
    <row r="35" spans="3:11" x14ac:dyDescent="0.2">
      <c r="C35" s="93">
        <f t="shared" si="2"/>
        <v>19</v>
      </c>
      <c r="D35" s="146" t="str">
        <v>Infinitum 649</v>
      </c>
      <c r="E35" s="177">
        <f t="shared" si="0"/>
        <v>500</v>
      </c>
      <c r="F35" s="174" t="str">
        <f>VLOOKUP($D35,'Planes y paquetes'!$C$661:$L$699,2,FALSE)</f>
        <v>Residencial</v>
      </c>
      <c r="G35" s="174" t="str">
        <f>VLOOKUP($D35,'Planes y paquetes'!$C$661:$L$699,3,FALSE)</f>
        <v>Internet fijo</v>
      </c>
      <c r="H35" s="178">
        <f>IFERROR(VLOOKUP($D35,$D$63:$K$101,H$14,FALSE)/SUM(VLOOKUP($D35,$D$63:$K119,H$14,FALSE),VLOOKUP($D35,$D$63:$K$101,I$14,FALSE)),"")</f>
        <v>2.9227360580775939E-3</v>
      </c>
      <c r="I35" s="178">
        <f t="shared" si="1"/>
        <v>0.99707726394192242</v>
      </c>
      <c r="J35" s="178">
        <f t="shared" si="3"/>
        <v>1</v>
      </c>
      <c r="K35" s="179"/>
    </row>
    <row r="36" spans="3:11" x14ac:dyDescent="0.2">
      <c r="C36" s="93">
        <f t="shared" si="2"/>
        <v>20</v>
      </c>
      <c r="D36" s="146" t="str">
        <v>Infinitum 899</v>
      </c>
      <c r="E36" s="177">
        <f t="shared" si="0"/>
        <v>750</v>
      </c>
      <c r="F36" s="174" t="str">
        <f>VLOOKUP($D36,'Planes y paquetes'!$C$661:$L$699,2,FALSE)</f>
        <v>Residencial</v>
      </c>
      <c r="G36" s="174" t="str">
        <f>VLOOKUP($D36,'Planes y paquetes'!$C$661:$L$699,3,FALSE)</f>
        <v>Internet fijo</v>
      </c>
      <c r="H36" s="178">
        <f>IFERROR(VLOOKUP($D36,$D$63:$K$101,H$14,FALSE)/SUM(VLOOKUP($D36,$D$63:$K120,H$14,FALSE),VLOOKUP($D36,$D$63:$K$101,I$14,FALSE)),"")</f>
        <v>1.6823139957670809E-3</v>
      </c>
      <c r="I36" s="178">
        <f t="shared" si="1"/>
        <v>0.99831768600423287</v>
      </c>
      <c r="J36" s="178">
        <f t="shared" si="3"/>
        <v>1</v>
      </c>
      <c r="K36" s="179"/>
    </row>
    <row r="37" spans="3:11" x14ac:dyDescent="0.2">
      <c r="C37" s="93">
        <f t="shared" si="2"/>
        <v>21</v>
      </c>
      <c r="D37" s="146" t="str">
        <v>Paquete Conectes Negocio</v>
      </c>
      <c r="E37" s="177">
        <f t="shared" si="0"/>
        <v>80</v>
      </c>
      <c r="F37" s="174" t="str">
        <f>VLOOKUP($D37,'Planes y paquetes'!$C$661:$L$699,2,FALSE)</f>
        <v>No residencial</v>
      </c>
      <c r="G37" s="174" t="str">
        <f>VLOOKUP($D37,'Planes y paquetes'!$C$661:$L$699,3,FALSE)</f>
        <v>Telefonía fija + Internet fijo</v>
      </c>
      <c r="H37" s="178">
        <f>IFERROR(VLOOKUP($D37,$D$63:$K$101,H$14,FALSE)/SUM(VLOOKUP($D37,$D$63:$K121,H$14,FALSE),VLOOKUP($D37,$D$63:$K$101,I$14,FALSE)),"")</f>
        <v>0.19540593224803751</v>
      </c>
      <c r="I37" s="178">
        <f t="shared" si="1"/>
        <v>0.80459406775196252</v>
      </c>
      <c r="J37" s="178">
        <f t="shared" si="3"/>
        <v>1</v>
      </c>
      <c r="K37" s="180"/>
    </row>
    <row r="38" spans="3:11" x14ac:dyDescent="0.2">
      <c r="C38" s="93">
        <f t="shared" si="2"/>
        <v>22</v>
      </c>
      <c r="D38" s="146" t="str">
        <v>Paquete Mi Negocio</v>
      </c>
      <c r="E38" s="177">
        <f t="shared" si="0"/>
        <v>150</v>
      </c>
      <c r="F38" s="174" t="str">
        <f>VLOOKUP($D38,'Planes y paquetes'!$C$661:$L$699,2,FALSE)</f>
        <v>No residencial</v>
      </c>
      <c r="G38" s="174" t="str">
        <f>VLOOKUP($D38,'Planes y paquetes'!$C$661:$L$699,3,FALSE)</f>
        <v>Telefonía fija + Internet fijo</v>
      </c>
      <c r="H38" s="178">
        <f>IFERROR(VLOOKUP($D38,$D$63:$K$101,H$14,FALSE)/SUM(VLOOKUP($D38,$D$63:$K122,H$14,FALSE),VLOOKUP($D38,$D$63:$K$101,I$14,FALSE)),"")</f>
        <v>0.11405988964723163</v>
      </c>
      <c r="I38" s="178">
        <f t="shared" si="1"/>
        <v>0.88594011035276832</v>
      </c>
      <c r="J38" s="178">
        <f t="shared" si="3"/>
        <v>1</v>
      </c>
      <c r="K38" s="179"/>
    </row>
    <row r="39" spans="3:11" x14ac:dyDescent="0.2">
      <c r="C39" s="93">
        <f t="shared" si="2"/>
        <v>23</v>
      </c>
      <c r="D39" s="146" t="str">
        <v>Paquete Negocio 649</v>
      </c>
      <c r="E39" s="177">
        <f t="shared" si="0"/>
        <v>250</v>
      </c>
      <c r="F39" s="174" t="str">
        <f>VLOOKUP($D39,'Planes y paquetes'!$C$661:$L$699,2,FALSE)</f>
        <v>No residencial</v>
      </c>
      <c r="G39" s="174" t="str">
        <f>VLOOKUP($D39,'Planes y paquetes'!$C$661:$L$699,3,FALSE)</f>
        <v>Telefonía fija + Internet fijo</v>
      </c>
      <c r="H39" s="178">
        <f>IFERROR(VLOOKUP($D39,$D$63:$K$101,H$14,FALSE)/SUM(VLOOKUP($D39,$D$63:$K123,H$14,FALSE),VLOOKUP($D39,$D$63:$K$101,I$14,FALSE)),"")</f>
        <v>1.0141479904845374E-2</v>
      </c>
      <c r="I39" s="178">
        <f t="shared" si="1"/>
        <v>0.98985852009515463</v>
      </c>
      <c r="J39" s="178">
        <f t="shared" si="3"/>
        <v>1</v>
      </c>
      <c r="K39" s="179"/>
    </row>
    <row r="40" spans="3:11" x14ac:dyDescent="0.2">
      <c r="C40" s="93">
        <f t="shared" si="2"/>
        <v>24</v>
      </c>
      <c r="D40" s="146" t="str">
        <v>Paquete Supernegocio</v>
      </c>
      <c r="E40" s="177">
        <f t="shared" si="0"/>
        <v>350</v>
      </c>
      <c r="F40" s="174" t="str">
        <f>VLOOKUP($D40,'Planes y paquetes'!$C$661:$L$699,2,FALSE)</f>
        <v>No residencial</v>
      </c>
      <c r="G40" s="174" t="str">
        <f>VLOOKUP($D40,'Planes y paquetes'!$C$661:$L$699,3,FALSE)</f>
        <v>Telefonía fija + Internet fijo</v>
      </c>
      <c r="H40" s="178">
        <f>IFERROR(VLOOKUP($D40,$D$63:$K$101,H$14,FALSE)/SUM(VLOOKUP($D40,$D$63:$K124,H$14,FALSE),VLOOKUP($D40,$D$63:$K$101,I$14,FALSE)),"")</f>
        <v>7.3298340165940834E-2</v>
      </c>
      <c r="I40" s="178">
        <f t="shared" si="1"/>
        <v>0.92670165983405917</v>
      </c>
      <c r="J40" s="178">
        <f t="shared" si="3"/>
        <v>1</v>
      </c>
      <c r="K40" s="179"/>
    </row>
    <row r="41" spans="3:11" x14ac:dyDescent="0.2">
      <c r="C41" s="93">
        <f t="shared" si="2"/>
        <v>25</v>
      </c>
      <c r="D41" s="146" t="str">
        <v>Paquete Negocio 999</v>
      </c>
      <c r="E41" s="177">
        <f t="shared" si="0"/>
        <v>500</v>
      </c>
      <c r="F41" s="174" t="str">
        <f>VLOOKUP($D41,'Planes y paquetes'!$C$661:$L$699,2,FALSE)</f>
        <v>No residencial</v>
      </c>
      <c r="G41" s="174" t="str">
        <f>VLOOKUP($D41,'Planes y paquetes'!$C$661:$L$699,3,FALSE)</f>
        <v>Telefonía fija + Internet fijo</v>
      </c>
      <c r="H41" s="178">
        <f>IFERROR(VLOOKUP($D41,$D$63:$K$101,H$14,FALSE)/SUM(VLOOKUP($D41,$D$63:$K125,H$14,FALSE),VLOOKUP($D41,$D$63:$K$101,I$14,FALSE)),"")</f>
        <v>6.7010776057230825E-3</v>
      </c>
      <c r="I41" s="178">
        <f t="shared" si="1"/>
        <v>0.99329892239427697</v>
      </c>
      <c r="J41" s="178">
        <f t="shared" si="3"/>
        <v>1</v>
      </c>
      <c r="K41" s="179"/>
    </row>
    <row r="42" spans="3:11" x14ac:dyDescent="0.2">
      <c r="C42" s="93">
        <f t="shared" si="2"/>
        <v>26</v>
      </c>
      <c r="D42" s="146" t="str">
        <v>Paquete Telmex Negocio Ilimitado 1</v>
      </c>
      <c r="E42" s="177">
        <f t="shared" si="0"/>
        <v>750</v>
      </c>
      <c r="F42" s="174" t="str">
        <f>VLOOKUP($D42,'Planes y paquetes'!$C$661:$L$699,2,FALSE)</f>
        <v>No residencial</v>
      </c>
      <c r="G42" s="174" t="str">
        <f>VLOOKUP($D42,'Planes y paquetes'!$C$661:$L$699,3,FALSE)</f>
        <v>Telefonía fija + Internet fijo</v>
      </c>
      <c r="H42" s="178">
        <f>IFERROR(VLOOKUP($D42,$D$63:$K$101,H$14,FALSE)/SUM(VLOOKUP($D42,$D$63:$K126,H$14,FALSE),VLOOKUP($D42,$D$63:$K$101,I$14,FALSE)),"")</f>
        <v>8.2386007177093531E-2</v>
      </c>
      <c r="I42" s="178">
        <f t="shared" si="1"/>
        <v>0.91761399282290645</v>
      </c>
      <c r="J42" s="178">
        <f t="shared" si="3"/>
        <v>1</v>
      </c>
      <c r="K42" s="179"/>
    </row>
    <row r="43" spans="3:11" x14ac:dyDescent="0.2">
      <c r="C43" s="93">
        <f t="shared" si="2"/>
        <v>27</v>
      </c>
      <c r="D43" s="146" t="str">
        <v>Paquete Telmex Negocio Ilimitado 2</v>
      </c>
      <c r="E43" s="177">
        <f t="shared" si="0"/>
        <v>750</v>
      </c>
      <c r="F43" s="174" t="str">
        <f>VLOOKUP($D43,'Planes y paquetes'!$C$661:$L$699,2,FALSE)</f>
        <v>No residencial</v>
      </c>
      <c r="G43" s="174" t="str">
        <f>VLOOKUP($D43,'Planes y paquetes'!$C$661:$L$699,3,FALSE)</f>
        <v>Telefonía fija + Internet fijo</v>
      </c>
      <c r="H43" s="178">
        <f>IFERROR(VLOOKUP($D43,$D$63:$K$101,H$14,FALSE)/SUM(VLOOKUP($D43,$D$63:$K127,H$14,FALSE),VLOOKUP($D43,$D$63:$K$101,I$14,FALSE)),"")</f>
        <v>8.2851378614660395E-2</v>
      </c>
      <c r="I43" s="178">
        <f t="shared" si="1"/>
        <v>0.91714862138533959</v>
      </c>
      <c r="J43" s="178">
        <f t="shared" si="3"/>
        <v>1</v>
      </c>
      <c r="K43" s="179"/>
    </row>
    <row r="44" spans="3:11" x14ac:dyDescent="0.2">
      <c r="C44" s="93">
        <f t="shared" si="2"/>
        <v>28</v>
      </c>
      <c r="D44" s="146" t="str">
        <v>Paquete Telmex Negocio Ilimitado 3</v>
      </c>
      <c r="E44" s="177">
        <f t="shared" si="0"/>
        <v>1000</v>
      </c>
      <c r="F44" s="174" t="str">
        <f>VLOOKUP($D44,'Planes y paquetes'!$C$661:$L$699,2,FALSE)</f>
        <v>No residencial</v>
      </c>
      <c r="G44" s="174" t="str">
        <f>VLOOKUP($D44,'Planes y paquetes'!$C$661:$L$699,3,FALSE)</f>
        <v>Telefonía fija + Internet fijo</v>
      </c>
      <c r="H44" s="178">
        <f>IFERROR(VLOOKUP($D44,$D$63:$K$101,H$14,FALSE)/SUM(VLOOKUP($D44,$D$63:$K128,H$14,FALSE),VLOOKUP($D44,$D$63:$K$101,I$14,FALSE)),"")</f>
        <v>4.0638606676342524E-2</v>
      </c>
      <c r="I44" s="178">
        <f t="shared" si="1"/>
        <v>0.95936139332365744</v>
      </c>
      <c r="J44" s="178">
        <f t="shared" si="3"/>
        <v>1</v>
      </c>
      <c r="K44" s="179"/>
    </row>
    <row r="45" spans="3:11" x14ac:dyDescent="0.2">
      <c r="C45" s="93">
        <f t="shared" si="2"/>
        <v>29</v>
      </c>
      <c r="D45" s="146" t="str">
        <v>Infinitum 299 N</v>
      </c>
      <c r="E45" s="177">
        <f t="shared" si="0"/>
        <v>40</v>
      </c>
      <c r="F45" s="174" t="str">
        <f>VLOOKUP($D45,'Planes y paquetes'!$C$661:$L$699,2,FALSE)</f>
        <v>No residencial</v>
      </c>
      <c r="G45" s="174" t="str">
        <f>VLOOKUP($D45,'Planes y paquetes'!$C$661:$L$699,3,FALSE)</f>
        <v>Internet fijo</v>
      </c>
      <c r="H45" s="178">
        <f>IFERROR(VLOOKUP($D45,$D$63:$K$101,H$14,FALSE)/SUM(VLOOKUP($D45,$D$63:$K129,H$14,FALSE),VLOOKUP($D45,$D$63:$K$101,I$14,FALSE)),"")</f>
        <v>0.11673151750972763</v>
      </c>
      <c r="I45" s="178">
        <f t="shared" si="1"/>
        <v>0.88326848249027234</v>
      </c>
      <c r="J45" s="178">
        <f t="shared" si="3"/>
        <v>1</v>
      </c>
      <c r="K45" s="179"/>
    </row>
    <row r="46" spans="3:11" x14ac:dyDescent="0.2">
      <c r="C46" s="93">
        <f t="shared" si="2"/>
        <v>30</v>
      </c>
      <c r="D46" s="146" t="str">
        <v>Infinitum Negocio 349</v>
      </c>
      <c r="E46" s="177">
        <f t="shared" si="0"/>
        <v>80</v>
      </c>
      <c r="F46" s="174" t="str">
        <f>VLOOKUP($D46,'Planes y paquetes'!$C$661:$L$699,2,FALSE)</f>
        <v>No residencial</v>
      </c>
      <c r="G46" s="174" t="str">
        <f>VLOOKUP($D46,'Planes y paquetes'!$C$661:$L$699,3,FALSE)</f>
        <v>Internet fijo</v>
      </c>
      <c r="H46" s="178">
        <f>IFERROR(VLOOKUP($D46,$D$63:$K$101,H$14,FALSE)/SUM(VLOOKUP($D46,$D$63:$K130,H$14,FALSE),VLOOKUP($D46,$D$63:$K$101,I$14,FALSE)),"")</f>
        <v>0.13743803949338043</v>
      </c>
      <c r="I46" s="178">
        <f t="shared" si="1"/>
        <v>0.8625619605066196</v>
      </c>
      <c r="J46" s="178">
        <f t="shared" si="3"/>
        <v>1</v>
      </c>
      <c r="K46" s="179"/>
    </row>
    <row r="47" spans="3:11" x14ac:dyDescent="0.2">
      <c r="C47" s="93">
        <f t="shared" si="2"/>
        <v>31</v>
      </c>
      <c r="D47" s="146" t="str">
        <v>Infinitum Negocio 399</v>
      </c>
      <c r="E47" s="177">
        <f t="shared" si="0"/>
        <v>100</v>
      </c>
      <c r="F47" s="174" t="str">
        <f>VLOOKUP($D47,'Planes y paquetes'!$C$661:$L$699,2,FALSE)</f>
        <v>No residencial</v>
      </c>
      <c r="G47" s="174" t="str">
        <f>VLOOKUP($D47,'Planes y paquetes'!$C$661:$L$699,3,FALSE)</f>
        <v>Internet fijo</v>
      </c>
      <c r="H47" s="178">
        <f>IFERROR(VLOOKUP($D47,$D$63:$K$101,H$14,FALSE)/SUM(VLOOKUP($D47,$D$63:$K131,H$14,FALSE),VLOOKUP($D47,$D$63:$K$101,I$14,FALSE)),"")</f>
        <v>6.3168876623813694E-2</v>
      </c>
      <c r="I47" s="178">
        <f t="shared" si="1"/>
        <v>0.93683112337618635</v>
      </c>
      <c r="J47" s="178">
        <f t="shared" si="3"/>
        <v>1</v>
      </c>
      <c r="K47" s="179"/>
    </row>
    <row r="48" spans="3:11" x14ac:dyDescent="0.2">
      <c r="C48" s="93">
        <f t="shared" si="2"/>
        <v>32</v>
      </c>
      <c r="D48" s="146" t="str">
        <v>Infinitum Negocio 449</v>
      </c>
      <c r="E48" s="177">
        <f t="shared" si="0"/>
        <v>150</v>
      </c>
      <c r="F48" s="174" t="str">
        <f>VLOOKUP($D48,'Planes y paquetes'!$C$661:$L$699,2,FALSE)</f>
        <v>No residencial</v>
      </c>
      <c r="G48" s="174" t="str">
        <f>VLOOKUP($D48,'Planes y paquetes'!$C$661:$L$699,3,FALSE)</f>
        <v>Internet fijo</v>
      </c>
      <c r="H48" s="178">
        <f>IFERROR(VLOOKUP($D48,$D$63:$K$101,H$14,FALSE)/SUM(VLOOKUP($D48,$D$63:$K132,H$14,FALSE),VLOOKUP($D48,$D$63:$K$101,I$14,FALSE)),"")</f>
        <v>2.2058823529411764E-3</v>
      </c>
      <c r="I48" s="178">
        <f t="shared" si="1"/>
        <v>0.99779411764705883</v>
      </c>
      <c r="J48" s="178">
        <f t="shared" si="3"/>
        <v>1</v>
      </c>
      <c r="K48" s="179"/>
    </row>
    <row r="49" spans="3:13" x14ac:dyDescent="0.2">
      <c r="C49" s="93">
        <f t="shared" si="2"/>
        <v>33</v>
      </c>
      <c r="D49" s="146" t="str">
        <v>Infinitum Negocio 499</v>
      </c>
      <c r="E49" s="177">
        <f t="shared" si="0"/>
        <v>250</v>
      </c>
      <c r="F49" s="174" t="str">
        <f>VLOOKUP($D49,'Planes y paquetes'!$C$661:$L$699,2,FALSE)</f>
        <v>No residencial</v>
      </c>
      <c r="G49" s="174" t="str">
        <f>VLOOKUP($D49,'Planes y paquetes'!$C$661:$L$699,3,FALSE)</f>
        <v>Internet fijo</v>
      </c>
      <c r="H49" s="178">
        <f>IFERROR(VLOOKUP($D49,$D$63:$K$101,H$14,FALSE)/SUM(VLOOKUP($D49,$D$63:$K133,H$14,FALSE),VLOOKUP($D49,$D$63:$K$101,I$14,FALSE)),"")</f>
        <v>3.4114168751421424E-3</v>
      </c>
      <c r="I49" s="178">
        <f t="shared" si="1"/>
        <v>0.99658858312485787</v>
      </c>
      <c r="J49" s="178">
        <f t="shared" si="3"/>
        <v>1</v>
      </c>
      <c r="K49" s="179"/>
    </row>
    <row r="50" spans="3:13" x14ac:dyDescent="0.2">
      <c r="C50" s="93">
        <f t="shared" si="2"/>
        <v>34</v>
      </c>
      <c r="D50" s="146" t="str">
        <v>Infinitum Negocio 549</v>
      </c>
      <c r="E50" s="177">
        <f t="shared" si="0"/>
        <v>350</v>
      </c>
      <c r="F50" s="174" t="str">
        <f>VLOOKUP($D50,'Planes y paquetes'!$C$661:$L$699,2,FALSE)</f>
        <v>No residencial</v>
      </c>
      <c r="G50" s="174" t="str">
        <f>VLOOKUP($D50,'Planes y paquetes'!$C$661:$L$699,3,FALSE)</f>
        <v>Internet fijo</v>
      </c>
      <c r="H50" s="178">
        <f>IFERROR(VLOOKUP($D50,$D$63:$K$101,H$14,FALSE)/SUM(VLOOKUP($D50,$D$63:$K134,H$14,FALSE),VLOOKUP($D50,$D$63:$K$101,I$14,FALSE)),"")</f>
        <v>4.0188958612423324E-3</v>
      </c>
      <c r="I50" s="178">
        <f t="shared" si="1"/>
        <v>0.99598110413875762</v>
      </c>
      <c r="J50" s="178">
        <f t="shared" si="3"/>
        <v>1</v>
      </c>
      <c r="K50" s="179"/>
    </row>
    <row r="51" spans="3:13" x14ac:dyDescent="0.2">
      <c r="C51" s="93">
        <f t="shared" si="2"/>
        <v>35</v>
      </c>
      <c r="D51" s="146" t="str">
        <v>Infinitum Negocio 649</v>
      </c>
      <c r="E51" s="177">
        <f t="shared" si="0"/>
        <v>500</v>
      </c>
      <c r="F51" s="174" t="str">
        <f>VLOOKUP($D51,'Planes y paquetes'!$C$661:$L$699,2,FALSE)</f>
        <v>No residencial</v>
      </c>
      <c r="G51" s="174" t="str">
        <f>VLOOKUP($D51,'Planes y paquetes'!$C$661:$L$699,3,FALSE)</f>
        <v>Internet fijo</v>
      </c>
      <c r="H51" s="178">
        <f>IFERROR(VLOOKUP($D51,$D$63:$K$101,H$14,FALSE)/SUM(VLOOKUP($D51,$D$63:$K135,H$14,FALSE),VLOOKUP($D51,$D$63:$K$101,I$14,FALSE)),"")</f>
        <v>4.0398599515216807E-3</v>
      </c>
      <c r="I51" s="178">
        <f t="shared" si="1"/>
        <v>0.99596014004847833</v>
      </c>
      <c r="J51" s="178">
        <f t="shared" si="3"/>
        <v>1</v>
      </c>
      <c r="K51" s="179"/>
    </row>
    <row r="52" spans="3:13" x14ac:dyDescent="0.2">
      <c r="C52" s="93">
        <f t="shared" si="2"/>
        <v>36</v>
      </c>
      <c r="D52" s="146" t="str">
        <v>Infinitum Negocio 899</v>
      </c>
      <c r="E52" s="177">
        <f t="shared" si="0"/>
        <v>750</v>
      </c>
      <c r="F52" s="174" t="str">
        <f>VLOOKUP($D52,'Planes y paquetes'!$C$661:$L$699,2,FALSE)</f>
        <v>No residencial</v>
      </c>
      <c r="G52" s="174" t="str">
        <f>VLOOKUP($D52,'Planes y paquetes'!$C$661:$L$699,3,FALSE)</f>
        <v>Internet fijo</v>
      </c>
      <c r="H52" s="178">
        <f>IFERROR(VLOOKUP($D52,$D$63:$K$101,H$14,FALSE)/SUM(VLOOKUP($D52,$D$63:$K136,H$14,FALSE),VLOOKUP($D52,$D$63:$K$101,I$14,FALSE)),"")</f>
        <v>1.7104459376908979E-3</v>
      </c>
      <c r="I52" s="178">
        <f t="shared" si="1"/>
        <v>0.99828955406230913</v>
      </c>
      <c r="J52" s="178">
        <f t="shared" si="3"/>
        <v>1</v>
      </c>
      <c r="K52" s="179"/>
    </row>
    <row r="53" spans="3:13" x14ac:dyDescent="0.2">
      <c r="C53" s="93">
        <f t="shared" si="2"/>
        <v>37</v>
      </c>
      <c r="D53" s="146" t="str">
        <v>Infinitum Negocio</v>
      </c>
      <c r="E53" s="177">
        <f t="shared" si="0"/>
        <v>30</v>
      </c>
      <c r="F53" s="174" t="str">
        <f>VLOOKUP($D53,'Planes y paquetes'!$C$661:$L$699,2,FALSE)</f>
        <v>No Residencial</v>
      </c>
      <c r="G53" s="174" t="str">
        <f>VLOOKUP($D53,'Planes y paquetes'!$C$661:$L$699,3,FALSE)</f>
        <v>Internet fijo</v>
      </c>
      <c r="H53" s="178">
        <f>IFERROR(VLOOKUP($D53,$D$63:$K$101,H$14,FALSE)/SUM(VLOOKUP($D53,$D$63:$K137,H$14,FALSE),VLOOKUP($D53,$D$63:$K$101,I$14,FALSE)),"")</f>
        <v>0.252444854279405</v>
      </c>
      <c r="I53" s="178">
        <f t="shared" si="1"/>
        <v>0.747555145720595</v>
      </c>
      <c r="J53" s="178">
        <f t="shared" si="3"/>
        <v>1</v>
      </c>
      <c r="K53" s="179"/>
    </row>
    <row r="54" spans="3:13" x14ac:dyDescent="0.2">
      <c r="C54" s="93">
        <f t="shared" si="2"/>
        <v>38</v>
      </c>
      <c r="D54" s="146" t="str">
        <v>Infinitum Negocio Red</v>
      </c>
      <c r="E54" s="177">
        <f t="shared" si="0"/>
        <v>50</v>
      </c>
      <c r="F54" s="174" t="str">
        <f>VLOOKUP($D54,'Planes y paquetes'!$C$661:$L$699,2,FALSE)</f>
        <v>No Residencial</v>
      </c>
      <c r="G54" s="174" t="str">
        <f>VLOOKUP($D54,'Planes y paquetes'!$C$661:$L$699,3,FALSE)</f>
        <v>Internet fijo</v>
      </c>
      <c r="H54" s="178">
        <f>IFERROR(VLOOKUP($D54,$D$63:$K$101,H$14,FALSE)/SUM(VLOOKUP($D54,$D$63:$K138,H$14,FALSE),VLOOKUP($D54,$D$63:$K$101,I$14,FALSE)),"")</f>
        <v>0.2903698691926026</v>
      </c>
      <c r="I54" s="178">
        <f t="shared" si="1"/>
        <v>0.70963013080739734</v>
      </c>
      <c r="J54" s="178">
        <f t="shared" si="3"/>
        <v>1</v>
      </c>
      <c r="K54" s="179"/>
    </row>
    <row r="55" spans="3:13" ht="12" thickBot="1" x14ac:dyDescent="0.25">
      <c r="C55" s="93">
        <f t="shared" si="2"/>
        <v>39</v>
      </c>
      <c r="D55" s="146" t="str">
        <v>Infinitum Negocio Premium</v>
      </c>
      <c r="E55" s="177">
        <f t="shared" si="0"/>
        <v>100</v>
      </c>
      <c r="F55" s="174" t="str">
        <f>VLOOKUP($D55,'Planes y paquetes'!$C$661:$L$699,2,FALSE)</f>
        <v>No Residencial</v>
      </c>
      <c r="G55" s="174" t="str">
        <f>VLOOKUP($D55,'Planes y paquetes'!$C$661:$L$699,3,FALSE)</f>
        <v>Internet fijo</v>
      </c>
      <c r="H55" s="178">
        <f>IFERROR(VLOOKUP($D55,$D$63:$K$101,H$14,FALSE)/SUM(VLOOKUP($D55,$D$63:$K139,H$14,FALSE),VLOOKUP($D55,$D$63:$K$101,I$14,FALSE)),"")</f>
        <v>0.16208004167028389</v>
      </c>
      <c r="I55" s="178">
        <f t="shared" si="1"/>
        <v>0.83791995832971611</v>
      </c>
      <c r="J55" s="178">
        <f t="shared" si="3"/>
        <v>1</v>
      </c>
      <c r="K55" s="179"/>
    </row>
    <row r="56" spans="3:13" ht="11.25" customHeight="1" x14ac:dyDescent="0.2">
      <c r="C56" s="53"/>
      <c r="D56" s="53"/>
      <c r="E56" s="53"/>
      <c r="F56" s="53"/>
      <c r="G56" s="53"/>
      <c r="H56" s="53"/>
      <c r="I56" s="53"/>
      <c r="J56" s="53"/>
      <c r="K56" s="53"/>
      <c r="L56" s="181" t="s">
        <v>388</v>
      </c>
      <c r="M56" s="53"/>
    </row>
    <row r="59" spans="3:13" ht="12" x14ac:dyDescent="0.2">
      <c r="C59" s="129" t="s">
        <v>389</v>
      </c>
    </row>
    <row r="60" spans="3:13" x14ac:dyDescent="0.2">
      <c r="J60" s="182">
        <v>8</v>
      </c>
      <c r="K60" s="183">
        <v>9</v>
      </c>
      <c r="L60" s="183">
        <v>10</v>
      </c>
    </row>
    <row r="61" spans="3:13" ht="24" x14ac:dyDescent="0.2">
      <c r="J61" s="184" t="str">
        <f>"Distribución "&amp;Year.selected&amp;" de suscriptores por medio de transmisión"</f>
        <v>Distribución 2025 de suscriptores por medio de transmisión</v>
      </c>
      <c r="K61" s="184"/>
    </row>
    <row r="62" spans="3:13" ht="84" x14ac:dyDescent="0.2">
      <c r="C62" s="72"/>
      <c r="D62" s="72" t="s">
        <v>379</v>
      </c>
      <c r="E62" s="185" t="s">
        <v>390</v>
      </c>
      <c r="F62" s="43" t="s">
        <v>310</v>
      </c>
      <c r="G62" s="43" t="s">
        <v>311</v>
      </c>
      <c r="H62" s="43" t="s">
        <v>385</v>
      </c>
      <c r="I62" s="43" t="s">
        <v>391</v>
      </c>
      <c r="J62" s="43" t="s">
        <v>392</v>
      </c>
      <c r="K62" s="43" t="s">
        <v>387</v>
      </c>
      <c r="L62" s="43"/>
      <c r="M62" s="43"/>
    </row>
    <row r="63" spans="3:13" x14ac:dyDescent="0.2">
      <c r="C63" s="100">
        <v>1</v>
      </c>
      <c r="D63" s="146" t="str">
        <f t="array" ref="D63:D101">vector.broadband.plans.names</f>
        <v>Paquete 249</v>
      </c>
      <c r="F63" s="174" t="str">
        <f>VLOOKUP($D63,'Planes y paquetes'!$C$661:$L$699,2,FALSE)</f>
        <v>Residencial</v>
      </c>
      <c r="G63" s="174" t="str">
        <f>VLOOKUP($D63,'Planes y paquetes'!$C$661:$L$699,3,FALSE)</f>
        <v>Telefonía fija + Internet fijo</v>
      </c>
      <c r="H63" s="174">
        <f>IFERROR(VLOOKUP($D63,'Planes y paquetes'!$C$391:$BW$429,69,FALSE),"")</f>
        <v>15</v>
      </c>
      <c r="I63" s="186">
        <f>IFERROR(VLOOKUP($D63,'Planes y paquetes'!$C$391:$BW$429,70,FALSE),"")</f>
        <v>0.64</v>
      </c>
      <c r="J63" s="187">
        <f>IFERROR(SUM(VLOOKUP($D63,'Planes y paquetes'!$C$661:$L$699,'Cálculos auxiliares'!L$60,FALSE),VLOOKUP($D63,'Planes y paquetes'!$C$661:$L$699,'Cálculos auxiliares'!J$60,FALSE)),"")</f>
        <v>33638</v>
      </c>
      <c r="K63" s="188">
        <f>IFERROR(VLOOKUP($D63,'Planes y paquetes'!$C$661:$L$699,'Cálculos auxiliares'!K$60,FALSE),"")</f>
        <v>146376</v>
      </c>
      <c r="L63" s="189"/>
      <c r="M63" s="190"/>
    </row>
    <row r="64" spans="3:13" x14ac:dyDescent="0.2">
      <c r="C64" s="93">
        <f>1+C63</f>
        <v>2</v>
      </c>
      <c r="D64" s="146" t="str">
        <v>Paquete 289</v>
      </c>
      <c r="F64" s="174" t="str">
        <f>VLOOKUP($D64,'Planes y paquetes'!$C$661:$L$699,2,FALSE)</f>
        <v>Residencial</v>
      </c>
      <c r="G64" s="174" t="str">
        <f>VLOOKUP($D64,'Planes y paquetes'!$C$661:$L$699,3,FALSE)</f>
        <v>Telefonía fija + Internet fijo</v>
      </c>
      <c r="H64" s="174">
        <f>IFERROR(VLOOKUP($D64,'Planes y paquetes'!$C$391:$BW$429,69,FALSE),"")</f>
        <v>15</v>
      </c>
      <c r="I64" s="186">
        <f>IFERROR(VLOOKUP($D64,'Planes y paquetes'!$C$391:$BW$429,70,FALSE),"")</f>
        <v>0.64</v>
      </c>
      <c r="J64" s="187">
        <f>IFERROR(SUM(VLOOKUP($D64,'Planes y paquetes'!$C$661:$L$699,'Cálculos auxiliares'!L$60,FALSE),VLOOKUP($D64,'Planes y paquetes'!$C$661:$L$699,'Cálculos auxiliares'!J$60,FALSE)),"")</f>
        <v>14838</v>
      </c>
      <c r="K64" s="188">
        <f>IFERROR(VLOOKUP($D64,'Planes y paquetes'!$C$661:$L$699,'Cálculos auxiliares'!K$60,FALSE),"")</f>
        <v>44868</v>
      </c>
      <c r="L64" s="189"/>
      <c r="M64" s="190"/>
    </row>
    <row r="65" spans="3:13" x14ac:dyDescent="0.2">
      <c r="C65" s="93">
        <f t="shared" ref="C65:C101" si="4">1+C64</f>
        <v>3</v>
      </c>
      <c r="D65" s="146" t="str">
        <v>Paquete 333</v>
      </c>
      <c r="F65" s="174" t="str">
        <f>VLOOKUP($D65,'Planes y paquetes'!$C$661:$L$699,2,FALSE)</f>
        <v>Residencial</v>
      </c>
      <c r="G65" s="174" t="str">
        <f>VLOOKUP($D65,'Planes y paquetes'!$C$661:$L$699,3,FALSE)</f>
        <v>Telefonía fija + Internet fijo</v>
      </c>
      <c r="H65" s="174">
        <f>IFERROR(VLOOKUP($D65,'Planes y paquetes'!$C$391:$BW$429,69,FALSE),"")</f>
        <v>15</v>
      </c>
      <c r="I65" s="186">
        <f>IFERROR(VLOOKUP($D65,'Planes y paquetes'!$C$391:$BW$429,70,FALSE),"")</f>
        <v>0.64</v>
      </c>
      <c r="J65" s="187">
        <f>IFERROR(SUM(VLOOKUP($D65,'Planes y paquetes'!$C$661:$L$699,'Cálculos auxiliares'!L$60,FALSE),VLOOKUP($D65,'Planes y paquetes'!$C$661:$L$699,'Cálculos auxiliares'!J$60,FALSE)),"")</f>
        <v>13481</v>
      </c>
      <c r="K65" s="188">
        <f>IFERROR(VLOOKUP($D65,'Planes y paquetes'!$C$661:$L$699,'Cálculos auxiliares'!K$60,FALSE),"")</f>
        <v>60148</v>
      </c>
      <c r="L65" s="189"/>
      <c r="M65" s="190"/>
    </row>
    <row r="66" spans="3:13" x14ac:dyDescent="0.2">
      <c r="C66" s="93">
        <f t="shared" si="4"/>
        <v>4</v>
      </c>
      <c r="D66" s="146" t="str">
        <v>Paquete 389</v>
      </c>
      <c r="F66" s="174" t="str">
        <f>VLOOKUP($D66,'Planes y paquetes'!$C$661:$L$699,2,FALSE)</f>
        <v>Residencial</v>
      </c>
      <c r="G66" s="174" t="str">
        <f>VLOOKUP($D66,'Planes y paquetes'!$C$661:$L$699,3,FALSE)</f>
        <v>Telefonía fija + Internet fijo</v>
      </c>
      <c r="H66" s="174">
        <f>IFERROR(VLOOKUP($D66,'Planes y paquetes'!$C$391:$BW$429,69,FALSE),"")</f>
        <v>80</v>
      </c>
      <c r="I66" s="191">
        <f>IFERROR(VLOOKUP($D66,'Planes y paquetes'!$C$391:$BW$429,70,FALSE),"")</f>
        <v>80</v>
      </c>
      <c r="J66" s="187">
        <f>IFERROR(SUM(VLOOKUP($D66,'Planes y paquetes'!$C$661:$L$699,'Cálculos auxiliares'!L$60,FALSE),VLOOKUP($D66,'Planes y paquetes'!$C$661:$L$699,'Cálculos auxiliares'!J$60,FALSE)),"")</f>
        <v>1046968</v>
      </c>
      <c r="K66" s="188">
        <f>IFERROR(VLOOKUP($D66,'Planes y paquetes'!$C$661:$L$699,'Cálculos auxiliares'!K$60,FALSE),"")</f>
        <v>4416789</v>
      </c>
      <c r="L66" s="189"/>
      <c r="M66" s="190"/>
    </row>
    <row r="67" spans="3:13" x14ac:dyDescent="0.2">
      <c r="C67" s="93">
        <f t="shared" si="4"/>
        <v>5</v>
      </c>
      <c r="D67" s="146" t="str">
        <v>Paquete 435</v>
      </c>
      <c r="F67" s="174" t="str">
        <f>VLOOKUP($D67,'Planes y paquetes'!$C$661:$L$699,2,FALSE)</f>
        <v>Residencial</v>
      </c>
      <c r="G67" s="174" t="str">
        <f>VLOOKUP($D67,'Planes y paquetes'!$C$661:$L$699,3,FALSE)</f>
        <v>Telefonía fija + Internet fijo</v>
      </c>
      <c r="H67" s="174">
        <f>IFERROR(VLOOKUP($D67,'Planes y paquetes'!$C$391:$BW$429,69,FALSE),"")</f>
        <v>100</v>
      </c>
      <c r="I67" s="191">
        <f>IFERROR(VLOOKUP($D67,'Planes y paquetes'!$C$391:$BW$429,70,FALSE),"")</f>
        <v>100</v>
      </c>
      <c r="J67" s="187">
        <f>IFERROR(SUM(VLOOKUP($D67,'Planes y paquetes'!$C$661:$L$699,'Cálculos auxiliares'!L$60,FALSE),VLOOKUP($D67,'Planes y paquetes'!$C$661:$L$699,'Cálculos auxiliares'!J$60,FALSE)),"")</f>
        <v>14683</v>
      </c>
      <c r="K67" s="188">
        <f>IFERROR(VLOOKUP($D67,'Planes y paquetes'!$C$661:$L$699,'Cálculos auxiliares'!K$60,FALSE),"")</f>
        <v>292538</v>
      </c>
      <c r="L67" s="189"/>
      <c r="M67" s="190"/>
    </row>
    <row r="68" spans="3:13" x14ac:dyDescent="0.2">
      <c r="C68" s="93">
        <f t="shared" si="4"/>
        <v>6</v>
      </c>
      <c r="D68" s="146" t="str">
        <v>Paquete 499</v>
      </c>
      <c r="F68" s="174" t="str">
        <f>VLOOKUP($D68,'Planes y paquetes'!$C$661:$L$699,2,FALSE)</f>
        <v>Residencial</v>
      </c>
      <c r="G68" s="174" t="str">
        <f>VLOOKUP($D68,'Planes y paquetes'!$C$661:$L$699,3,FALSE)</f>
        <v>Telefonía fija + Internet fijo</v>
      </c>
      <c r="H68" s="174">
        <f>IFERROR(VLOOKUP($D68,'Planes y paquetes'!$C$391:$BW$429,69,FALSE),"")</f>
        <v>150</v>
      </c>
      <c r="I68" s="191">
        <f>IFERROR(VLOOKUP($D68,'Planes y paquetes'!$C$391:$BW$429,70,FALSE),"")</f>
        <v>150</v>
      </c>
      <c r="J68" s="187">
        <f>IFERROR(SUM(VLOOKUP($D68,'Planes y paquetes'!$C$661:$L$699,'Cálculos auxiliares'!L$60,FALSE),VLOOKUP($D68,'Planes y paquetes'!$C$661:$L$699,'Cálculos auxiliares'!J$60,FALSE)),"")</f>
        <v>6874</v>
      </c>
      <c r="K68" s="188">
        <f>IFERROR(VLOOKUP($D68,'Planes y paquetes'!$C$661:$L$699,'Cálculos auxiliares'!K$60,FALSE),"")</f>
        <v>397171</v>
      </c>
      <c r="L68" s="189"/>
      <c r="M68" s="190"/>
    </row>
    <row r="69" spans="3:13" x14ac:dyDescent="0.2">
      <c r="C69" s="93">
        <f t="shared" si="4"/>
        <v>7</v>
      </c>
      <c r="D69" s="146" t="str">
        <v>Paquete 599</v>
      </c>
      <c r="F69" s="174" t="str">
        <f>VLOOKUP($D69,'Planes y paquetes'!$C$661:$L$699,2,FALSE)</f>
        <v>Residencial</v>
      </c>
      <c r="G69" s="174" t="str">
        <f>VLOOKUP($D69,'Planes y paquetes'!$C$661:$L$699,3,FALSE)</f>
        <v>Telefonía fija + Internet fijo</v>
      </c>
      <c r="H69" s="174">
        <f>IFERROR(VLOOKUP($D69,'Planes y paquetes'!$C$391:$BW$429,69,FALSE),"")</f>
        <v>250</v>
      </c>
      <c r="I69" s="191">
        <f>IFERROR(VLOOKUP($D69,'Planes y paquetes'!$C$391:$BW$429,70,FALSE),"")</f>
        <v>250</v>
      </c>
      <c r="J69" s="187">
        <f>IFERROR(SUM(VLOOKUP($D69,'Planes y paquetes'!$C$661:$L$699,'Cálculos auxiliares'!L$60,FALSE),VLOOKUP($D69,'Planes y paquetes'!$C$661:$L$699,'Cálculos auxiliares'!J$60,FALSE)),"")</f>
        <v>29814</v>
      </c>
      <c r="K69" s="188">
        <f>IFERROR(VLOOKUP($D69,'Planes y paquetes'!$C$661:$L$699,'Cálculos auxiliares'!K$60,FALSE),"")</f>
        <v>332762</v>
      </c>
      <c r="L69" s="189"/>
      <c r="M69" s="190"/>
    </row>
    <row r="70" spans="3:13" x14ac:dyDescent="0.2">
      <c r="C70" s="93">
        <f t="shared" si="4"/>
        <v>8</v>
      </c>
      <c r="D70" s="146" t="str">
        <v>Paquete 649</v>
      </c>
      <c r="F70" s="174" t="str">
        <f>VLOOKUP($D70,'Planes y paquetes'!$C$661:$L$699,2,FALSE)</f>
        <v>Residencial</v>
      </c>
      <c r="G70" s="174" t="str">
        <f>VLOOKUP($D70,'Planes y paquetes'!$C$661:$L$699,3,FALSE)</f>
        <v>Telefonía fija + Internet fijo</v>
      </c>
      <c r="H70" s="174">
        <f>IFERROR(VLOOKUP($D70,'Planes y paquetes'!$C$391:$BW$429,69,FALSE),"")</f>
        <v>350</v>
      </c>
      <c r="I70" s="191">
        <f>IFERROR(VLOOKUP($D70,'Planes y paquetes'!$C$391:$BW$429,70,FALSE),"")</f>
        <v>350</v>
      </c>
      <c r="J70" s="187">
        <f>IFERROR(SUM(VLOOKUP($D70,'Planes y paquetes'!$C$661:$L$699,'Cálculos auxiliares'!L$60,FALSE),VLOOKUP($D70,'Planes y paquetes'!$C$661:$L$699,'Cálculos auxiliares'!J$60,FALSE)),"")</f>
        <v>72</v>
      </c>
      <c r="K70" s="188">
        <f>IFERROR(VLOOKUP($D70,'Planes y paquetes'!$C$661:$L$699,'Cálculos auxiliares'!K$60,FALSE),"")</f>
        <v>272670</v>
      </c>
      <c r="L70" s="189"/>
      <c r="M70" s="190"/>
    </row>
    <row r="71" spans="3:13" x14ac:dyDescent="0.2">
      <c r="C71" s="93">
        <f t="shared" si="4"/>
        <v>9</v>
      </c>
      <c r="D71" s="146" t="str">
        <v>Paquetre 725</v>
      </c>
      <c r="F71" s="174" t="str">
        <f>VLOOKUP($D71,'Planes y paquetes'!$C$661:$L$699,2,FALSE)</f>
        <v>Residencial</v>
      </c>
      <c r="G71" s="174" t="str">
        <f>VLOOKUP($D71,'Planes y paquetes'!$C$661:$L$699,3,FALSE)</f>
        <v>Telefonía fija + Internet fijo</v>
      </c>
      <c r="H71" s="174">
        <f>IFERROR(VLOOKUP($D71,'Planes y paquetes'!$C$391:$BW$429,69,FALSE),"")</f>
        <v>500</v>
      </c>
      <c r="I71" s="191">
        <f>IFERROR(VLOOKUP($D71,'Planes y paquetes'!$C$391:$BW$429,70,FALSE),"")</f>
        <v>350</v>
      </c>
      <c r="J71" s="187">
        <f>IFERROR(SUM(VLOOKUP($D71,'Planes y paquetes'!$C$661:$L$699,'Cálculos auxiliares'!L$60,FALSE),VLOOKUP($D71,'Planes y paquetes'!$C$661:$L$699,'Cálculos auxiliares'!J$60,FALSE)),"")</f>
        <v>49</v>
      </c>
      <c r="K71" s="188">
        <f>IFERROR(VLOOKUP($D71,'Planes y paquetes'!$C$661:$L$699,'Cálculos auxiliares'!K$60,FALSE),"")</f>
        <v>16903</v>
      </c>
      <c r="L71" s="189"/>
      <c r="M71" s="190"/>
    </row>
    <row r="72" spans="3:13" x14ac:dyDescent="0.2">
      <c r="C72" s="93">
        <f t="shared" si="4"/>
        <v>10</v>
      </c>
      <c r="D72" s="146" t="str">
        <v>Paquete Infinitum 999</v>
      </c>
      <c r="F72" s="174" t="str">
        <f>VLOOKUP($D72,'Planes y paquetes'!$C$661:$L$699,2,FALSE)</f>
        <v>Residencial</v>
      </c>
      <c r="G72" s="174" t="str">
        <f>VLOOKUP($D72,'Planes y paquetes'!$C$661:$L$699,3,FALSE)</f>
        <v>Telefonía fija + Internet fijo</v>
      </c>
      <c r="H72" s="174">
        <f>IFERROR(VLOOKUP($D72,'Planes y paquetes'!$C$391:$BW$429,69,FALSE),"")</f>
        <v>750</v>
      </c>
      <c r="I72" s="191">
        <f>IFERROR(VLOOKUP($D72,'Planes y paquetes'!$C$391:$BW$429,70,FALSE),"")</f>
        <v>300</v>
      </c>
      <c r="J72" s="187">
        <f>IFERROR(SUM(VLOOKUP($D72,'Planes y paquetes'!$C$661:$L$699,'Cálculos auxiliares'!L$60,FALSE),VLOOKUP($D72,'Planes y paquetes'!$C$661:$L$699,'Cálculos auxiliares'!J$60,FALSE)),"")</f>
        <v>1008</v>
      </c>
      <c r="K72" s="188">
        <f>IFERROR(VLOOKUP($D72,'Planes y paquetes'!$C$661:$L$699,'Cálculos auxiliares'!K$60,FALSE),"")</f>
        <v>60087</v>
      </c>
      <c r="L72" s="189"/>
      <c r="M72" s="190"/>
    </row>
    <row r="73" spans="3:13" x14ac:dyDescent="0.2">
      <c r="C73" s="93">
        <f t="shared" si="4"/>
        <v>11</v>
      </c>
      <c r="D73" s="146" t="str">
        <v>Paquete 1399</v>
      </c>
      <c r="F73" s="174" t="str">
        <f>VLOOKUP($D73,'Planes y paquetes'!$C$661:$L$699,2,FALSE)</f>
        <v>Residencial</v>
      </c>
      <c r="G73" s="174" t="str">
        <f>VLOOKUP($D73,'Planes y paquetes'!$C$661:$L$699,3,FALSE)</f>
        <v>Telefonía fija + Internet fijo</v>
      </c>
      <c r="H73" s="174">
        <f>IFERROR(VLOOKUP($D73,'Planes y paquetes'!$C$391:$BW$429,69,FALSE),"")</f>
        <v>1000</v>
      </c>
      <c r="I73" s="191">
        <f>IFERROR(VLOOKUP($D73,'Planes y paquetes'!$C$391:$BW$429,70,FALSE),"")</f>
        <v>350</v>
      </c>
      <c r="J73" s="187">
        <f>IFERROR(SUM(VLOOKUP($D73,'Planes y paquetes'!$C$661:$L$699,'Cálculos auxiliares'!L$60,FALSE),VLOOKUP($D73,'Planes y paquetes'!$C$661:$L$699,'Cálculos auxiliares'!J$60,FALSE)),"")</f>
        <v>26</v>
      </c>
      <c r="K73" s="188">
        <f>IFERROR(VLOOKUP($D73,'Planes y paquetes'!$C$661:$L$699,'Cálculos auxiliares'!K$60,FALSE),"")</f>
        <v>22174</v>
      </c>
      <c r="L73" s="189"/>
      <c r="M73" s="190"/>
    </row>
    <row r="74" spans="3:13" x14ac:dyDescent="0.2">
      <c r="C74" s="93">
        <f t="shared" si="4"/>
        <v>12</v>
      </c>
      <c r="D74" s="146" t="str">
        <v>Infinitum 279</v>
      </c>
      <c r="F74" s="174" t="str">
        <f>VLOOKUP($D74,'Planes y paquetes'!$C$661:$L$699,2,FALSE)</f>
        <v>Residencial</v>
      </c>
      <c r="G74" s="174" t="str">
        <f>VLOOKUP($D74,'Planes y paquetes'!$C$661:$L$699,3,FALSE)</f>
        <v>Internet fijo</v>
      </c>
      <c r="H74" s="174">
        <f>IFERROR(VLOOKUP($D74,'Planes y paquetes'!$C$391:$BW$429,69,FALSE),"")</f>
        <v>30</v>
      </c>
      <c r="I74" s="191">
        <f>IFERROR(VLOOKUP($D74,'Planes y paquetes'!$C$391:$BW$429,70,FALSE),"")</f>
        <v>5</v>
      </c>
      <c r="J74" s="187">
        <f>IFERROR(SUM(VLOOKUP($D74,'Planes y paquetes'!$C$661:$L$699,'Cálculos auxiliares'!L$60,FALSE),VLOOKUP($D74,'Planes y paquetes'!$C$661:$L$699,'Cálculos auxiliares'!J$60,FALSE)),"")</f>
        <v>3952</v>
      </c>
      <c r="K74" s="188">
        <f>IFERROR(VLOOKUP($D74,'Planes y paquetes'!$C$661:$L$699,'Cálculos auxiliares'!K$60,FALSE),"")</f>
        <v>15281</v>
      </c>
      <c r="L74" s="189"/>
      <c r="M74" s="190"/>
    </row>
    <row r="75" spans="3:13" x14ac:dyDescent="0.2">
      <c r="C75" s="93">
        <f t="shared" si="4"/>
        <v>13</v>
      </c>
      <c r="D75" s="146" t="str">
        <v>Infinitum 299 R</v>
      </c>
      <c r="F75" s="174" t="str">
        <f>VLOOKUP($D75,'Planes y paquetes'!$C$661:$L$699,2,FALSE)</f>
        <v>Residencial</v>
      </c>
      <c r="G75" s="174" t="str">
        <f>VLOOKUP($D75,'Planes y paquetes'!$C$661:$L$699,3,FALSE)</f>
        <v>Internet fijo</v>
      </c>
      <c r="H75" s="174">
        <f>IFERROR(VLOOKUP($D75,'Planes y paquetes'!$C$391:$BW$429,69,FALSE),"")</f>
        <v>40</v>
      </c>
      <c r="I75" s="191">
        <f>IFERROR(VLOOKUP($D75,'Planes y paquetes'!$C$391:$BW$429,70,FALSE),"")</f>
        <v>5</v>
      </c>
      <c r="J75" s="187">
        <f>IFERROR(SUM(VLOOKUP($D75,'Planes y paquetes'!$C$661:$L$699,'Cálculos auxiliares'!L$60,FALSE),VLOOKUP($D75,'Planes y paquetes'!$C$661:$L$699,'Cálculos auxiliares'!J$60,FALSE)),"")</f>
        <v>33</v>
      </c>
      <c r="K75" s="188">
        <f>IFERROR(VLOOKUP($D75,'Planes y paquetes'!$C$661:$L$699,'Cálculos auxiliares'!K$60,FALSE),"")</f>
        <v>201</v>
      </c>
      <c r="L75" s="189"/>
      <c r="M75" s="190"/>
    </row>
    <row r="76" spans="3:13" x14ac:dyDescent="0.2">
      <c r="C76" s="93">
        <f t="shared" si="4"/>
        <v>14</v>
      </c>
      <c r="D76" s="146" t="str">
        <v>Infinitum 349</v>
      </c>
      <c r="F76" s="174" t="str">
        <f>VLOOKUP($D76,'Planes y paquetes'!$C$661:$L$699,2,FALSE)</f>
        <v>Residencial</v>
      </c>
      <c r="G76" s="174" t="str">
        <f>VLOOKUP($D76,'Planes y paquetes'!$C$661:$L$699,3,FALSE)</f>
        <v>Internet fijo</v>
      </c>
      <c r="H76" s="174">
        <f>IFERROR(VLOOKUP($D76,'Planes y paquetes'!$C$391:$BW$429,69,FALSE),"")</f>
        <v>80</v>
      </c>
      <c r="I76" s="191">
        <f>IFERROR(VLOOKUP($D76,'Planes y paquetes'!$C$391:$BW$429,70,FALSE),"")</f>
        <v>80</v>
      </c>
      <c r="J76" s="187">
        <f>IFERROR(SUM(VLOOKUP($D76,'Planes y paquetes'!$C$661:$L$699,'Cálculos auxiliares'!L$60,FALSE),VLOOKUP($D76,'Planes y paquetes'!$C$661:$L$699,'Cálculos auxiliares'!J$60,FALSE)),"")</f>
        <v>214789</v>
      </c>
      <c r="K76" s="188">
        <f>IFERROR(VLOOKUP($D76,'Planes y paquetes'!$C$661:$L$699,'Cálculos auxiliares'!K$60,FALSE),"")</f>
        <v>1557184</v>
      </c>
      <c r="L76" s="189"/>
      <c r="M76" s="190"/>
    </row>
    <row r="77" spans="3:13" x14ac:dyDescent="0.2">
      <c r="C77" s="93">
        <f t="shared" si="4"/>
        <v>15</v>
      </c>
      <c r="D77" s="146" t="str">
        <v>Infinitum 399</v>
      </c>
      <c r="F77" s="174" t="str">
        <f>VLOOKUP($D77,'Planes y paquetes'!$C$661:$L$699,2,FALSE)</f>
        <v>Residencial</v>
      </c>
      <c r="G77" s="174" t="str">
        <f>VLOOKUP($D77,'Planes y paquetes'!$C$661:$L$699,3,FALSE)</f>
        <v>Internet fijo</v>
      </c>
      <c r="H77" s="174">
        <f>IFERROR(VLOOKUP($D77,'Planes y paquetes'!$C$391:$BW$429,69,FALSE),"")</f>
        <v>100</v>
      </c>
      <c r="I77" s="191">
        <f>IFERROR(VLOOKUP($D77,'Planes y paquetes'!$C$391:$BW$429,70,FALSE),"")</f>
        <v>100</v>
      </c>
      <c r="J77" s="187">
        <f>IFERROR(SUM(VLOOKUP($D77,'Planes y paquetes'!$C$661:$L$699,'Cálculos auxiliares'!L$60,FALSE),VLOOKUP($D77,'Planes y paquetes'!$C$661:$L$699,'Cálculos auxiliares'!J$60,FALSE)),"")</f>
        <v>8409</v>
      </c>
      <c r="K77" s="188">
        <f>IFERROR(VLOOKUP($D77,'Planes y paquetes'!$C$661:$L$699,'Cálculos auxiliares'!K$60,FALSE),"")</f>
        <v>347782</v>
      </c>
      <c r="L77" s="189"/>
      <c r="M77" s="190"/>
    </row>
    <row r="78" spans="3:13" x14ac:dyDescent="0.2">
      <c r="C78" s="93">
        <f t="shared" si="4"/>
        <v>16</v>
      </c>
      <c r="D78" s="146" t="str">
        <v>Infinitum 449</v>
      </c>
      <c r="F78" s="174" t="str">
        <f>VLOOKUP($D78,'Planes y paquetes'!$C$661:$L$699,2,FALSE)</f>
        <v>Residencial</v>
      </c>
      <c r="G78" s="174" t="str">
        <f>VLOOKUP($D78,'Planes y paquetes'!$C$661:$L$699,3,FALSE)</f>
        <v>Internet fijo</v>
      </c>
      <c r="H78" s="174">
        <f>IFERROR(VLOOKUP($D78,'Planes y paquetes'!$C$391:$BW$429,69,FALSE),"")</f>
        <v>150</v>
      </c>
      <c r="I78" s="191">
        <f>IFERROR(VLOOKUP($D78,'Planes y paquetes'!$C$391:$BW$429,70,FALSE),"")</f>
        <v>150</v>
      </c>
      <c r="J78" s="187">
        <f>IFERROR(SUM(VLOOKUP($D78,'Planes y paquetes'!$C$661:$L$699,'Cálculos auxiliares'!L$60,FALSE),VLOOKUP($D78,'Planes y paquetes'!$C$661:$L$699,'Cálculos auxiliares'!J$60,FALSE)),"")</f>
        <v>365</v>
      </c>
      <c r="K78" s="188">
        <f>IFERROR(VLOOKUP($D78,'Planes y paquetes'!$C$661:$L$699,'Cálculos auxiliares'!K$60,FALSE),"")</f>
        <v>159143</v>
      </c>
      <c r="L78" s="189"/>
      <c r="M78" s="190"/>
    </row>
    <row r="79" spans="3:13" x14ac:dyDescent="0.2">
      <c r="C79" s="93">
        <f t="shared" si="4"/>
        <v>17</v>
      </c>
      <c r="D79" s="146" t="str">
        <v>Infinitum 499</v>
      </c>
      <c r="F79" s="174" t="str">
        <f>VLOOKUP($D79,'Planes y paquetes'!$C$661:$L$699,2,FALSE)</f>
        <v>Residencial</v>
      </c>
      <c r="G79" s="174" t="str">
        <f>VLOOKUP($D79,'Planes y paquetes'!$C$661:$L$699,3,FALSE)</f>
        <v>Internet fijo</v>
      </c>
      <c r="H79" s="174">
        <f>IFERROR(VLOOKUP($D79,'Planes y paquetes'!$C$391:$BW$429,69,FALSE),"")</f>
        <v>250</v>
      </c>
      <c r="I79" s="191">
        <f>IFERROR(VLOOKUP($D79,'Planes y paquetes'!$C$391:$BW$429,70,FALSE),"")</f>
        <v>250</v>
      </c>
      <c r="J79" s="187">
        <f>IFERROR(SUM(VLOOKUP($D79,'Planes y paquetes'!$C$661:$L$699,'Cálculos auxiliares'!L$60,FALSE),VLOOKUP($D79,'Planes y paquetes'!$C$661:$L$699,'Cálculos auxiliares'!J$60,FALSE)),"")</f>
        <v>51</v>
      </c>
      <c r="K79" s="188">
        <f>IFERROR(VLOOKUP($D79,'Planes y paquetes'!$C$661:$L$699,'Cálculos auxiliares'!K$60,FALSE),"")</f>
        <v>19805</v>
      </c>
      <c r="L79" s="189"/>
      <c r="M79" s="190"/>
    </row>
    <row r="80" spans="3:13" x14ac:dyDescent="0.2">
      <c r="C80" s="93">
        <f t="shared" si="4"/>
        <v>18</v>
      </c>
      <c r="D80" s="146" t="str">
        <v>Infinitum 549</v>
      </c>
      <c r="F80" s="174" t="str">
        <f>VLOOKUP($D80,'Planes y paquetes'!$C$661:$L$699,2,FALSE)</f>
        <v>Residencial</v>
      </c>
      <c r="G80" s="174" t="str">
        <f>VLOOKUP($D80,'Planes y paquetes'!$C$661:$L$699,3,FALSE)</f>
        <v>Internet fijo</v>
      </c>
      <c r="H80" s="174">
        <f>IFERROR(VLOOKUP($D80,'Planes y paquetes'!$C$391:$BW$429,69,FALSE),"")</f>
        <v>350</v>
      </c>
      <c r="I80" s="191">
        <f>IFERROR(VLOOKUP($D80,'Planes y paquetes'!$C$391:$BW$429,70,FALSE),"")</f>
        <v>350</v>
      </c>
      <c r="J80" s="187">
        <f>IFERROR(SUM(VLOOKUP($D80,'Planes y paquetes'!$C$661:$L$699,'Cálculos auxiliares'!L$60,FALSE),VLOOKUP($D80,'Planes y paquetes'!$C$661:$L$699,'Cálculos auxiliares'!J$60,FALSE)),"")</f>
        <v>446</v>
      </c>
      <c r="K80" s="188">
        <f>IFERROR(VLOOKUP($D80,'Planes y paquetes'!$C$661:$L$699,'Cálculos auxiliares'!K$60,FALSE),"")</f>
        <v>231099</v>
      </c>
      <c r="L80" s="189"/>
      <c r="M80" s="190"/>
    </row>
    <row r="81" spans="3:13" x14ac:dyDescent="0.2">
      <c r="C81" s="93">
        <f t="shared" si="4"/>
        <v>19</v>
      </c>
      <c r="D81" s="146" t="str">
        <v>Infinitum 649</v>
      </c>
      <c r="F81" s="174" t="str">
        <f>VLOOKUP($D81,'Planes y paquetes'!$C$661:$L$699,2,FALSE)</f>
        <v>Residencial</v>
      </c>
      <c r="G81" s="174" t="str">
        <f>VLOOKUP($D81,'Planes y paquetes'!$C$661:$L$699,3,FALSE)</f>
        <v>Internet fijo</v>
      </c>
      <c r="H81" s="174">
        <f>IFERROR(VLOOKUP($D81,'Planes y paquetes'!$C$391:$BW$429,69,FALSE),"")</f>
        <v>500</v>
      </c>
      <c r="I81" s="191">
        <f>IFERROR(VLOOKUP($D81,'Planes y paquetes'!$C$391:$BW$429,70,FALSE),"")</f>
        <v>350</v>
      </c>
      <c r="J81" s="187">
        <f>IFERROR(SUM(VLOOKUP($D81,'Planes y paquetes'!$C$661:$L$699,'Cálculos auxiliares'!L$60,FALSE),VLOOKUP($D81,'Planes y paquetes'!$C$661:$L$699,'Cálculos auxiliares'!J$60,FALSE)),"")</f>
        <v>62</v>
      </c>
      <c r="K81" s="188">
        <f>IFERROR(VLOOKUP($D81,'Planes y paquetes'!$C$661:$L$699,'Cálculos auxiliares'!K$60,FALSE),"")</f>
        <v>21151</v>
      </c>
      <c r="L81" s="189"/>
      <c r="M81" s="190"/>
    </row>
    <row r="82" spans="3:13" x14ac:dyDescent="0.2">
      <c r="C82" s="93">
        <f t="shared" si="4"/>
        <v>20</v>
      </c>
      <c r="D82" s="146" t="str">
        <v>Infinitum 899</v>
      </c>
      <c r="F82" s="174" t="str">
        <f>VLOOKUP($D82,'Planes y paquetes'!$C$661:$L$699,2,FALSE)</f>
        <v>Residencial</v>
      </c>
      <c r="G82" s="174" t="str">
        <f>VLOOKUP($D82,'Planes y paquetes'!$C$661:$L$699,3,FALSE)</f>
        <v>Internet fijo</v>
      </c>
      <c r="H82" s="174">
        <f>IFERROR(VLOOKUP($D82,'Planes y paquetes'!$C$391:$BW$429,69,FALSE),"")</f>
        <v>750</v>
      </c>
      <c r="I82" s="191">
        <f>IFERROR(VLOOKUP($D82,'Planes y paquetes'!$C$391:$BW$429,70,FALSE),"")</f>
        <v>300</v>
      </c>
      <c r="J82" s="187">
        <f>IFERROR(SUM(VLOOKUP($D82,'Planes y paquetes'!$C$661:$L$699,'Cálculos auxiliares'!L$60,FALSE),VLOOKUP($D82,'Planes y paquetes'!$C$661:$L$699,'Cálculos auxiliares'!J$60,FALSE)),"")</f>
        <v>31</v>
      </c>
      <c r="K82" s="188">
        <f>IFERROR(VLOOKUP($D82,'Planes y paquetes'!$C$661:$L$699,'Cálculos auxiliares'!K$60,FALSE),"")</f>
        <v>18396</v>
      </c>
      <c r="L82" s="189"/>
      <c r="M82" s="190"/>
    </row>
    <row r="83" spans="3:13" x14ac:dyDescent="0.2">
      <c r="C83" s="93">
        <f t="shared" si="4"/>
        <v>21</v>
      </c>
      <c r="D83" s="146" t="str">
        <v>Paquete Conectes Negocio</v>
      </c>
      <c r="F83" s="174" t="str">
        <f>VLOOKUP($D83,'Planes y paquetes'!$C$661:$L$699,2,FALSE)</f>
        <v>No residencial</v>
      </c>
      <c r="G83" s="174" t="str">
        <f>VLOOKUP($D83,'Planes y paquetes'!$C$661:$L$699,3,FALSE)</f>
        <v>Telefonía fija + Internet fijo</v>
      </c>
      <c r="H83" s="174">
        <f>IFERROR(VLOOKUP($D83,'Planes y paquetes'!$C$391:$BW$429,69,FALSE),"")</f>
        <v>80</v>
      </c>
      <c r="I83" s="191">
        <f>IFERROR(VLOOKUP($D83,'Planes y paquetes'!$C$391:$BW$429,70,FALSE),"")</f>
        <v>80</v>
      </c>
      <c r="J83" s="187">
        <f>IFERROR(SUM(VLOOKUP($D83,'Planes y paquetes'!$C$661:$L$699,'Cálculos auxiliares'!L$60,FALSE),VLOOKUP($D83,'Planes y paquetes'!$C$661:$L$699,'Cálculos auxiliares'!J$60,FALSE)),"")</f>
        <v>100143</v>
      </c>
      <c r="K83" s="188">
        <f>IFERROR(VLOOKUP($D83,'Planes y paquetes'!$C$661:$L$699,'Cálculos auxiliares'!K$60,FALSE),"")</f>
        <v>412344</v>
      </c>
      <c r="L83" s="189"/>
      <c r="M83" s="190"/>
    </row>
    <row r="84" spans="3:13" x14ac:dyDescent="0.2">
      <c r="C84" s="93">
        <f t="shared" si="4"/>
        <v>22</v>
      </c>
      <c r="D84" s="146" t="str">
        <v>Paquete Mi Negocio</v>
      </c>
      <c r="F84" s="174" t="str">
        <f>VLOOKUP($D84,'Planes y paquetes'!$C$661:$L$699,2,FALSE)</f>
        <v>No residencial</v>
      </c>
      <c r="G84" s="174" t="str">
        <f>VLOOKUP($D84,'Planes y paquetes'!$C$661:$L$699,3,FALSE)</f>
        <v>Telefonía fija + Internet fijo</v>
      </c>
      <c r="H84" s="174">
        <f>IFERROR(VLOOKUP($D84,'Planes y paquetes'!$C$391:$BW$429,69,FALSE),"")</f>
        <v>150</v>
      </c>
      <c r="I84" s="191">
        <f>IFERROR(VLOOKUP($D84,'Planes y paquetes'!$C$391:$BW$429,70,FALSE),"")</f>
        <v>150</v>
      </c>
      <c r="J84" s="187">
        <f>IFERROR(SUM(VLOOKUP($D84,'Planes y paquetes'!$C$661:$L$699,'Cálculos auxiliares'!L$60,FALSE),VLOOKUP($D84,'Planes y paquetes'!$C$661:$L$699,'Cálculos auxiliares'!J$60,FALSE)),"")</f>
        <v>42398</v>
      </c>
      <c r="K84" s="188">
        <f>IFERROR(VLOOKUP($D84,'Planes y paquetes'!$C$661:$L$699,'Cálculos auxiliares'!K$60,FALSE),"")</f>
        <v>329319</v>
      </c>
      <c r="L84" s="189"/>
      <c r="M84" s="190"/>
    </row>
    <row r="85" spans="3:13" x14ac:dyDescent="0.2">
      <c r="C85" s="93">
        <f t="shared" si="4"/>
        <v>23</v>
      </c>
      <c r="D85" s="146" t="str">
        <v>Paquete Negocio 649</v>
      </c>
      <c r="F85" s="174" t="str">
        <f>VLOOKUP($D85,'Planes y paquetes'!$C$661:$L$699,2,FALSE)</f>
        <v>No residencial</v>
      </c>
      <c r="G85" s="174" t="str">
        <f>VLOOKUP($D85,'Planes y paquetes'!$C$661:$L$699,3,FALSE)</f>
        <v>Telefonía fija + Internet fijo</v>
      </c>
      <c r="H85" s="174">
        <f>IFERROR(VLOOKUP($D85,'Planes y paquetes'!$C$391:$BW$429,69,FALSE),"")</f>
        <v>250</v>
      </c>
      <c r="I85" s="191">
        <f>IFERROR(VLOOKUP($D85,'Planes y paquetes'!$C$391:$BW$429,70,FALSE),"")</f>
        <v>250</v>
      </c>
      <c r="J85" s="187">
        <f>IFERROR(SUM(VLOOKUP($D85,'Planes y paquetes'!$C$661:$L$699,'Cálculos auxiliares'!L$60,FALSE),VLOOKUP($D85,'Planes y paquetes'!$C$661:$L$699,'Cálculos auxiliares'!J$60,FALSE)),"")</f>
        <v>405</v>
      </c>
      <c r="K85" s="188">
        <f>IFERROR(VLOOKUP($D85,'Planes y paquetes'!$C$661:$L$699,'Cálculos auxiliares'!K$60,FALSE),"")</f>
        <v>39530</v>
      </c>
      <c r="L85" s="189"/>
      <c r="M85" s="190"/>
    </row>
    <row r="86" spans="3:13" x14ac:dyDescent="0.2">
      <c r="C86" s="93">
        <f t="shared" si="4"/>
        <v>24</v>
      </c>
      <c r="D86" s="146" t="str">
        <v>Paquete Supernegocio</v>
      </c>
      <c r="F86" s="174" t="str">
        <f>VLOOKUP($D86,'Planes y paquetes'!$C$661:$L$699,2,FALSE)</f>
        <v>No residencial</v>
      </c>
      <c r="G86" s="174" t="str">
        <f>VLOOKUP($D86,'Planes y paquetes'!$C$661:$L$699,3,FALSE)</f>
        <v>Telefonía fija + Internet fijo</v>
      </c>
      <c r="H86" s="174">
        <f>IFERROR(VLOOKUP($D86,'Planes y paquetes'!$C$391:$BW$429,69,FALSE),"")</f>
        <v>350</v>
      </c>
      <c r="I86" s="191">
        <f>IFERROR(VLOOKUP($D86,'Planes y paquetes'!$C$391:$BW$429,70,FALSE),"")</f>
        <v>350</v>
      </c>
      <c r="J86" s="187">
        <f>IFERROR(SUM(VLOOKUP($D86,'Planes y paquetes'!$C$661:$L$699,'Cálculos auxiliares'!L$60,FALSE),VLOOKUP($D86,'Planes y paquetes'!$C$661:$L$699,'Cálculos auxiliares'!J$60,FALSE)),"")</f>
        <v>17218</v>
      </c>
      <c r="K86" s="188">
        <f>IFERROR(VLOOKUP($D86,'Planes y paquetes'!$C$661:$L$699,'Cálculos auxiliares'!K$60,FALSE),"")</f>
        <v>217685</v>
      </c>
      <c r="L86" s="189"/>
      <c r="M86" s="190"/>
    </row>
    <row r="87" spans="3:13" x14ac:dyDescent="0.2">
      <c r="C87" s="93">
        <f t="shared" si="4"/>
        <v>25</v>
      </c>
      <c r="D87" s="146" t="str">
        <v>Paquete Negocio 999</v>
      </c>
      <c r="F87" s="174" t="str">
        <f>VLOOKUP($D87,'Planes y paquetes'!$C$661:$L$699,2,FALSE)</f>
        <v>No residencial</v>
      </c>
      <c r="G87" s="174" t="str">
        <f>VLOOKUP($D87,'Planes y paquetes'!$C$661:$L$699,3,FALSE)</f>
        <v>Telefonía fija + Internet fijo</v>
      </c>
      <c r="H87" s="174">
        <f>IFERROR(VLOOKUP($D87,'Planes y paquetes'!$C$391:$BW$429,69,FALSE),"")</f>
        <v>500</v>
      </c>
      <c r="I87" s="191">
        <f>IFERROR(VLOOKUP($D87,'Planes y paquetes'!$C$391:$BW$429,70,FALSE),"")</f>
        <v>350</v>
      </c>
      <c r="J87" s="187">
        <f>IFERROR(SUM(VLOOKUP($D87,'Planes y paquetes'!$C$661:$L$699,'Cálculos auxiliares'!L$60,FALSE),VLOOKUP($D87,'Planes y paquetes'!$C$661:$L$699,'Cálculos auxiliares'!J$60,FALSE)),"")</f>
        <v>74</v>
      </c>
      <c r="K87" s="188">
        <f>IFERROR(VLOOKUP($D87,'Planes y paquetes'!$C$661:$L$699,'Cálculos auxiliares'!K$60,FALSE),"")</f>
        <v>10969</v>
      </c>
      <c r="L87" s="189"/>
      <c r="M87" s="190"/>
    </row>
    <row r="88" spans="3:13" x14ac:dyDescent="0.2">
      <c r="C88" s="93">
        <f t="shared" si="4"/>
        <v>26</v>
      </c>
      <c r="D88" s="146" t="str">
        <v>Paquete Telmex Negocio Ilimitado 1</v>
      </c>
      <c r="F88" s="174" t="str">
        <f>VLOOKUP($D88,'Planes y paquetes'!$C$661:$L$699,2,FALSE)</f>
        <v>No residencial</v>
      </c>
      <c r="G88" s="174" t="str">
        <f>VLOOKUP($D88,'Planes y paquetes'!$C$661:$L$699,3,FALSE)</f>
        <v>Telefonía fija + Internet fijo</v>
      </c>
      <c r="H88" s="174">
        <f>IFERROR(VLOOKUP($D88,'Planes y paquetes'!$C$391:$BW$429,69,FALSE),"")</f>
        <v>750</v>
      </c>
      <c r="I88" s="191">
        <f>IFERROR(VLOOKUP($D88,'Planes y paquetes'!$C$391:$BW$429,70,FALSE),"")</f>
        <v>350</v>
      </c>
      <c r="J88" s="187">
        <f>IFERROR(SUM(VLOOKUP($D88,'Planes y paquetes'!$C$661:$L$699,'Cálculos auxiliares'!L$60,FALSE),VLOOKUP($D88,'Planes y paquetes'!$C$661:$L$699,'Cálculos auxiliares'!J$60,FALSE)),"")</f>
        <v>3283</v>
      </c>
      <c r="K88" s="188">
        <f>IFERROR(VLOOKUP($D88,'Planes y paquetes'!$C$661:$L$699,'Cálculos auxiliares'!K$60,FALSE),"")</f>
        <v>36566</v>
      </c>
      <c r="L88" s="189"/>
      <c r="M88" s="190"/>
    </row>
    <row r="89" spans="3:13" x14ac:dyDescent="0.2">
      <c r="C89" s="93">
        <f t="shared" si="4"/>
        <v>27</v>
      </c>
      <c r="D89" s="146" t="str">
        <v>Paquete Telmex Negocio Ilimitado 2</v>
      </c>
      <c r="F89" s="174" t="str">
        <f>VLOOKUP($D89,'Planes y paquetes'!$C$661:$L$699,2,FALSE)</f>
        <v>No residencial</v>
      </c>
      <c r="G89" s="174" t="str">
        <f>VLOOKUP($D89,'Planes y paquetes'!$C$661:$L$699,3,FALSE)</f>
        <v>Telefonía fija + Internet fijo</v>
      </c>
      <c r="H89" s="174">
        <f>IFERROR(VLOOKUP($D89,'Planes y paquetes'!$C$391:$BW$429,69,FALSE),"")</f>
        <v>750</v>
      </c>
      <c r="I89" s="191">
        <f>IFERROR(VLOOKUP($D89,'Planes y paquetes'!$C$391:$BW$429,70,FALSE),"")</f>
        <v>350</v>
      </c>
      <c r="J89" s="187">
        <f>IFERROR(SUM(VLOOKUP($D89,'Planes y paquetes'!$C$661:$L$699,'Cálculos auxiliares'!L$60,FALSE),VLOOKUP($D89,'Planes y paquetes'!$C$661:$L$699,'Cálculos auxiliares'!J$60,FALSE)),"")</f>
        <v>1232</v>
      </c>
      <c r="K89" s="188">
        <f>IFERROR(VLOOKUP($D89,'Planes y paquetes'!$C$661:$L$699,'Cálculos auxiliares'!K$60,FALSE),"")</f>
        <v>13638</v>
      </c>
      <c r="L89" s="189"/>
      <c r="M89" s="190"/>
    </row>
    <row r="90" spans="3:13" x14ac:dyDescent="0.2">
      <c r="C90" s="93">
        <f t="shared" si="4"/>
        <v>28</v>
      </c>
      <c r="D90" s="146" t="str">
        <v>Paquete Telmex Negocio Ilimitado 3</v>
      </c>
      <c r="F90" s="174" t="str">
        <f>VLOOKUP($D90,'Planes y paquetes'!$C$661:$L$699,2,FALSE)</f>
        <v>No residencial</v>
      </c>
      <c r="G90" s="174" t="str">
        <f>VLOOKUP($D90,'Planes y paquetes'!$C$661:$L$699,3,FALSE)</f>
        <v>Telefonía fija + Internet fijo</v>
      </c>
      <c r="H90" s="174">
        <f>IFERROR(VLOOKUP($D90,'Planes y paquetes'!$C$391:$BW$429,69,FALSE),"")</f>
        <v>1000</v>
      </c>
      <c r="I90" s="191">
        <f>IFERROR(VLOOKUP($D90,'Planes y paquetes'!$C$391:$BW$429,70,FALSE),"")</f>
        <v>350</v>
      </c>
      <c r="J90" s="187">
        <f>IFERROR(SUM(VLOOKUP($D90,'Planes y paquetes'!$C$661:$L$699,'Cálculos auxiliares'!L$60,FALSE),VLOOKUP($D90,'Planes y paquetes'!$C$661:$L$699,'Cálculos auxiliares'!J$60,FALSE)),"")</f>
        <v>1036</v>
      </c>
      <c r="K90" s="188">
        <f>IFERROR(VLOOKUP($D90,'Planes y paquetes'!$C$661:$L$699,'Cálculos auxiliares'!K$60,FALSE),"")</f>
        <v>24457</v>
      </c>
      <c r="L90" s="189"/>
      <c r="M90" s="190"/>
    </row>
    <row r="91" spans="3:13" x14ac:dyDescent="0.2">
      <c r="C91" s="93">
        <f t="shared" si="4"/>
        <v>29</v>
      </c>
      <c r="D91" s="146" t="str">
        <v>Infinitum 299 N</v>
      </c>
      <c r="F91" s="174" t="str">
        <f>VLOOKUP($D91,'Planes y paquetes'!$C$661:$L$699,2,FALSE)</f>
        <v>No residencial</v>
      </c>
      <c r="G91" s="174" t="str">
        <f>VLOOKUP($D91,'Planes y paquetes'!$C$661:$L$699,3,FALSE)</f>
        <v>Internet fijo</v>
      </c>
      <c r="H91" s="174">
        <f>IFERROR(VLOOKUP($D91,'Planes y paquetes'!$C$391:$BW$429,69,FALSE),"")</f>
        <v>40</v>
      </c>
      <c r="I91" s="191">
        <f>IFERROR(VLOOKUP($D91,'Planes y paquetes'!$C$391:$BW$429,70,FALSE),"")</f>
        <v>5</v>
      </c>
      <c r="J91" s="187">
        <f>IFERROR(SUM(VLOOKUP($D91,'Planes y paquetes'!$C$661:$L$699,'Cálculos auxiliares'!L$60,FALSE),VLOOKUP($D91,'Planes y paquetes'!$C$661:$L$699,'Cálculos auxiliares'!J$60,FALSE)),"")</f>
        <v>30</v>
      </c>
      <c r="K91" s="188">
        <f>IFERROR(VLOOKUP($D91,'Planes y paquetes'!$C$661:$L$699,'Cálculos auxiliares'!K$60,FALSE),"")</f>
        <v>227</v>
      </c>
      <c r="L91" s="189"/>
      <c r="M91" s="190"/>
    </row>
    <row r="92" spans="3:13" x14ac:dyDescent="0.2">
      <c r="C92" s="93">
        <f t="shared" si="4"/>
        <v>30</v>
      </c>
      <c r="D92" s="146" t="str">
        <v>Infinitum Negocio 349</v>
      </c>
      <c r="F92" s="174" t="str">
        <f>VLOOKUP($D92,'Planes y paquetes'!$C$661:$L$699,2,FALSE)</f>
        <v>No residencial</v>
      </c>
      <c r="G92" s="174" t="str">
        <f>VLOOKUP($D92,'Planes y paquetes'!$C$661:$L$699,3,FALSE)</f>
        <v>Internet fijo</v>
      </c>
      <c r="H92" s="174">
        <f>IFERROR(VLOOKUP($D92,'Planes y paquetes'!$C$391:$BW$429,69,FALSE),"")</f>
        <v>80</v>
      </c>
      <c r="I92" s="191">
        <f>IFERROR(VLOOKUP($D92,'Planes y paquetes'!$C$391:$BW$429,70,FALSE),"")</f>
        <v>80</v>
      </c>
      <c r="J92" s="187">
        <f>IFERROR(SUM(VLOOKUP($D92,'Planes y paquetes'!$C$661:$L$699,'Cálculos auxiliares'!L$60,FALSE),VLOOKUP($D92,'Planes y paquetes'!$C$661:$L$699,'Cálculos auxiliares'!J$60,FALSE)),"")</f>
        <v>15333</v>
      </c>
      <c r="K92" s="188">
        <f>IFERROR(VLOOKUP($D92,'Planes y paquetes'!$C$661:$L$699,'Cálculos auxiliares'!K$60,FALSE),"")</f>
        <v>96230</v>
      </c>
      <c r="L92" s="189"/>
      <c r="M92" s="190"/>
    </row>
    <row r="93" spans="3:13" x14ac:dyDescent="0.2">
      <c r="C93" s="93">
        <f t="shared" si="4"/>
        <v>31</v>
      </c>
      <c r="D93" s="146" t="str">
        <v>Infinitum Negocio 399</v>
      </c>
      <c r="F93" s="174" t="str">
        <f>VLOOKUP($D93,'Planes y paquetes'!$C$661:$L$699,2,FALSE)</f>
        <v>No residencial</v>
      </c>
      <c r="G93" s="174" t="str">
        <f>VLOOKUP($D93,'Planes y paquetes'!$C$661:$L$699,3,FALSE)</f>
        <v>Internet fijo</v>
      </c>
      <c r="H93" s="174">
        <f>IFERROR(VLOOKUP($D93,'Planes y paquetes'!$C$391:$BW$429,69,FALSE),"")</f>
        <v>100</v>
      </c>
      <c r="I93" s="191">
        <f>IFERROR(VLOOKUP($D93,'Planes y paquetes'!$C$391:$BW$429,70,FALSE),"")</f>
        <v>100</v>
      </c>
      <c r="J93" s="187">
        <f>IFERROR(SUM(VLOOKUP($D93,'Planes y paquetes'!$C$661:$L$699,'Cálculos auxiliares'!L$60,FALSE),VLOOKUP($D93,'Planes y paquetes'!$C$661:$L$699,'Cálculos auxiliares'!J$60,FALSE)),"")</f>
        <v>1877</v>
      </c>
      <c r="K93" s="188">
        <f>IFERROR(VLOOKUP($D93,'Planes y paquetes'!$C$661:$L$699,'Cálculos auxiliares'!K$60,FALSE),"")</f>
        <v>27837</v>
      </c>
      <c r="L93" s="189"/>
      <c r="M93" s="190"/>
    </row>
    <row r="94" spans="3:13" x14ac:dyDescent="0.2">
      <c r="C94" s="93">
        <f t="shared" si="4"/>
        <v>32</v>
      </c>
      <c r="D94" s="146" t="str">
        <v>Infinitum Negocio 449</v>
      </c>
      <c r="F94" s="174" t="str">
        <f>VLOOKUP($D94,'Planes y paquetes'!$C$661:$L$699,2,FALSE)</f>
        <v>No residencial</v>
      </c>
      <c r="G94" s="174" t="str">
        <f>VLOOKUP($D94,'Planes y paquetes'!$C$661:$L$699,3,FALSE)</f>
        <v>Internet fijo</v>
      </c>
      <c r="H94" s="174">
        <f>IFERROR(VLOOKUP($D94,'Planes y paquetes'!$C$391:$BW$429,69,FALSE),"")</f>
        <v>150</v>
      </c>
      <c r="I94" s="191">
        <f>IFERROR(VLOOKUP($D94,'Planes y paquetes'!$C$391:$BW$429,70,FALSE),"")</f>
        <v>20</v>
      </c>
      <c r="J94" s="187">
        <f>IFERROR(SUM(VLOOKUP($D94,'Planes y paquetes'!$C$661:$L$699,'Cálculos auxiliares'!L$60,FALSE),VLOOKUP($D94,'Planes y paquetes'!$C$661:$L$699,'Cálculos auxiliares'!J$60,FALSE)),"")</f>
        <v>27</v>
      </c>
      <c r="K94" s="188">
        <f>IFERROR(VLOOKUP($D94,'Planes y paquetes'!$C$661:$L$699,'Cálculos auxiliares'!K$60,FALSE),"")</f>
        <v>12213</v>
      </c>
      <c r="L94" s="189"/>
      <c r="M94" s="190"/>
    </row>
    <row r="95" spans="3:13" x14ac:dyDescent="0.2">
      <c r="C95" s="93">
        <f t="shared" si="4"/>
        <v>33</v>
      </c>
      <c r="D95" s="146" t="str">
        <v>Infinitum Negocio 499</v>
      </c>
      <c r="F95" s="174" t="str">
        <f>VLOOKUP($D95,'Planes y paquetes'!$C$661:$L$699,2,FALSE)</f>
        <v>No residencial</v>
      </c>
      <c r="G95" s="174" t="str">
        <f>VLOOKUP($D95,'Planes y paquetes'!$C$661:$L$699,3,FALSE)</f>
        <v>Internet fijo</v>
      </c>
      <c r="H95" s="174">
        <f>IFERROR(VLOOKUP($D95,'Planes y paquetes'!$C$391:$BW$429,69,FALSE),"")</f>
        <v>250</v>
      </c>
      <c r="I95" s="191">
        <f>IFERROR(VLOOKUP($D95,'Planes y paquetes'!$C$391:$BW$429,70,FALSE),"")</f>
        <v>250</v>
      </c>
      <c r="J95" s="187">
        <f>IFERROR(SUM(VLOOKUP($D95,'Planes y paquetes'!$C$661:$L$699,'Cálculos auxiliares'!L$60,FALSE),VLOOKUP($D95,'Planes y paquetes'!$C$661:$L$699,'Cálculos auxiliares'!J$60,FALSE)),"")</f>
        <v>15</v>
      </c>
      <c r="K95" s="188">
        <f>IFERROR(VLOOKUP($D95,'Planes y paquetes'!$C$661:$L$699,'Cálculos auxiliares'!K$60,FALSE),"")</f>
        <v>4382</v>
      </c>
      <c r="L95" s="189"/>
      <c r="M95" s="190"/>
    </row>
    <row r="96" spans="3:13" x14ac:dyDescent="0.2">
      <c r="C96" s="93">
        <f t="shared" si="4"/>
        <v>34</v>
      </c>
      <c r="D96" s="146" t="str">
        <v>Infinitum Negocio 549</v>
      </c>
      <c r="F96" s="174" t="str">
        <f>VLOOKUP($D96,'Planes y paquetes'!$C$661:$L$699,2,FALSE)</f>
        <v>No residencial</v>
      </c>
      <c r="G96" s="174" t="str">
        <f>VLOOKUP($D96,'Planes y paquetes'!$C$661:$L$699,3,FALSE)</f>
        <v>Internet fijo</v>
      </c>
      <c r="H96" s="174">
        <f>IFERROR(VLOOKUP($D96,'Planes y paquetes'!$C$391:$BW$429,69,FALSE),"")</f>
        <v>350</v>
      </c>
      <c r="I96" s="191">
        <f>IFERROR(VLOOKUP($D96,'Planes y paquetes'!$C$391:$BW$429,70,FALSE),"")</f>
        <v>350</v>
      </c>
      <c r="J96" s="187">
        <f>IFERROR(SUM(VLOOKUP($D96,'Planes y paquetes'!$C$661:$L$699,'Cálculos auxiliares'!L$60,FALSE),VLOOKUP($D96,'Planes y paquetes'!$C$661:$L$699,'Cálculos auxiliares'!J$60,FALSE)),"")</f>
        <v>114</v>
      </c>
      <c r="K96" s="188">
        <f>IFERROR(VLOOKUP($D96,'Planes y paquetes'!$C$661:$L$699,'Cálculos auxiliares'!K$60,FALSE),"")</f>
        <v>28252</v>
      </c>
      <c r="L96" s="189"/>
      <c r="M96" s="190"/>
    </row>
    <row r="97" spans="3:15" x14ac:dyDescent="0.2">
      <c r="C97" s="93">
        <f t="shared" si="4"/>
        <v>35</v>
      </c>
      <c r="D97" s="146" t="str">
        <v>Infinitum Negocio 649</v>
      </c>
      <c r="F97" s="174" t="str">
        <f>VLOOKUP($D97,'Planes y paquetes'!$C$661:$L$699,2,FALSE)</f>
        <v>No residencial</v>
      </c>
      <c r="G97" s="174" t="str">
        <f>VLOOKUP($D97,'Planes y paquetes'!$C$661:$L$699,3,FALSE)</f>
        <v>Internet fijo</v>
      </c>
      <c r="H97" s="174">
        <f>IFERROR(VLOOKUP($D97,'Planes y paquetes'!$C$391:$BW$429,69,FALSE),"")</f>
        <v>500</v>
      </c>
      <c r="I97" s="191">
        <f>IFERROR(VLOOKUP($D97,'Planes y paquetes'!$C$391:$BW$429,70,FALSE),"")</f>
        <v>350</v>
      </c>
      <c r="J97" s="187">
        <f>IFERROR(SUM(VLOOKUP($D97,'Planes y paquetes'!$C$661:$L$699,'Cálculos auxiliares'!L$60,FALSE),VLOOKUP($D97,'Planes y paquetes'!$C$661:$L$699,'Cálculos auxiliares'!J$60,FALSE)),"")</f>
        <v>15</v>
      </c>
      <c r="K97" s="188">
        <f>IFERROR(VLOOKUP($D97,'Planes y paquetes'!$C$661:$L$699,'Cálculos auxiliares'!K$60,FALSE),"")</f>
        <v>3698</v>
      </c>
      <c r="L97" s="189"/>
      <c r="M97" s="190"/>
    </row>
    <row r="98" spans="3:15" x14ac:dyDescent="0.2">
      <c r="C98" s="93">
        <f t="shared" si="4"/>
        <v>36</v>
      </c>
      <c r="D98" s="146" t="str">
        <v>Infinitum Negocio 899</v>
      </c>
      <c r="F98" s="174" t="str">
        <f>VLOOKUP($D98,'Planes y paquetes'!$C$661:$L$699,2,FALSE)</f>
        <v>No residencial</v>
      </c>
      <c r="G98" s="174" t="str">
        <f>VLOOKUP($D98,'Planes y paquetes'!$C$661:$L$699,3,FALSE)</f>
        <v>Internet fijo</v>
      </c>
      <c r="H98" s="174">
        <f>IFERROR(VLOOKUP($D98,'Planes y paquetes'!$C$391:$BW$429,69,FALSE),"")</f>
        <v>750</v>
      </c>
      <c r="I98" s="191">
        <f>IFERROR(VLOOKUP($D98,'Planes y paquetes'!$C$391:$BW$429,70,FALSE),"")</f>
        <v>300</v>
      </c>
      <c r="J98" s="187">
        <f>IFERROR(SUM(VLOOKUP($D98,'Planes y paquetes'!$C$661:$L$699,'Cálculos auxiliares'!L$60,FALSE),VLOOKUP($D98,'Planes y paquetes'!$C$661:$L$699,'Cálculos auxiliares'!J$60,FALSE)),"")</f>
        <v>14</v>
      </c>
      <c r="K98" s="188">
        <f>IFERROR(VLOOKUP($D98,'Planes y paquetes'!$C$661:$L$699,'Cálculos auxiliares'!K$60,FALSE),"")</f>
        <v>8171</v>
      </c>
      <c r="L98" s="189"/>
      <c r="M98" s="190"/>
    </row>
    <row r="99" spans="3:15" x14ac:dyDescent="0.2">
      <c r="C99" s="93">
        <f t="shared" si="4"/>
        <v>37</v>
      </c>
      <c r="D99" s="146" t="str">
        <v>Infinitum Negocio</v>
      </c>
      <c r="F99" s="174" t="str">
        <f>VLOOKUP($D99,'Planes y paquetes'!$C$661:$L$699,2,FALSE)</f>
        <v>No Residencial</v>
      </c>
      <c r="G99" s="174" t="str">
        <f>VLOOKUP($D99,'Planes y paquetes'!$C$661:$L$699,3,FALSE)</f>
        <v>Internet fijo</v>
      </c>
      <c r="H99" s="174">
        <f>IFERROR(VLOOKUP($D99,'Planes y paquetes'!$C$391:$BW$429,69,FALSE),"")</f>
        <v>30</v>
      </c>
      <c r="I99" s="186">
        <f>IFERROR(VLOOKUP($D99,'Planes y paquetes'!$C$391:$BW$429,70,FALSE),"")</f>
        <v>0.76800000000000002</v>
      </c>
      <c r="J99" s="187">
        <f>IFERROR(SUM(VLOOKUP($D99,'Planes y paquetes'!$C$661:$L$699,'Cálculos auxiliares'!L$60,FALSE),VLOOKUP($D99,'Planes y paquetes'!$C$661:$L$699,'Cálculos auxiliares'!J$60,FALSE)),"")</f>
        <v>10403</v>
      </c>
      <c r="K99" s="188">
        <f>IFERROR(VLOOKUP($D99,'Planes y paquetes'!$C$661:$L$699,'Cálculos auxiliares'!K$60,FALSE),"")</f>
        <v>30806</v>
      </c>
      <c r="L99" s="189"/>
      <c r="M99" s="190"/>
    </row>
    <row r="100" spans="3:15" x14ac:dyDescent="0.2">
      <c r="C100" s="93">
        <f t="shared" si="4"/>
        <v>38</v>
      </c>
      <c r="D100" s="146" t="str">
        <v>Infinitum Negocio Red</v>
      </c>
      <c r="F100" s="174" t="str">
        <f>VLOOKUP($D100,'Planes y paquetes'!$C$661:$L$699,2,FALSE)</f>
        <v>No Residencial</v>
      </c>
      <c r="G100" s="174" t="str">
        <f>VLOOKUP($D100,'Planes y paquetes'!$C$661:$L$699,3,FALSE)</f>
        <v>Internet fijo</v>
      </c>
      <c r="H100" s="174">
        <f>IFERROR(VLOOKUP($D100,'Planes y paquetes'!$C$391:$BW$429,69,FALSE),"")</f>
        <v>50</v>
      </c>
      <c r="I100" s="186">
        <f>IFERROR(VLOOKUP($D100,'Planes y paquetes'!$C$391:$BW$429,70,FALSE),"")</f>
        <v>0.76800000000000002</v>
      </c>
      <c r="J100" s="187">
        <f>IFERROR(SUM(VLOOKUP($D100,'Planes y paquetes'!$C$661:$L$699,'Cálculos auxiliares'!L$60,FALSE),VLOOKUP($D100,'Planes y paquetes'!$C$661:$L$699,'Cálculos auxiliares'!J$60,FALSE)),"")</f>
        <v>2575</v>
      </c>
      <c r="K100" s="188">
        <f>IFERROR(VLOOKUP($D100,'Planes y paquetes'!$C$661:$L$699,'Cálculos auxiliares'!K$60,FALSE),"")</f>
        <v>6293</v>
      </c>
      <c r="L100" s="189"/>
      <c r="M100" s="190"/>
    </row>
    <row r="101" spans="3:15" x14ac:dyDescent="0.2">
      <c r="C101" s="93">
        <f t="shared" si="4"/>
        <v>39</v>
      </c>
      <c r="D101" s="146" t="str">
        <v>Infinitum Negocio Premium</v>
      </c>
      <c r="F101" s="174" t="str">
        <f>VLOOKUP($D101,'Planes y paquetes'!$C$661:$L$699,2,FALSE)</f>
        <v>No Residencial</v>
      </c>
      <c r="G101" s="174" t="str">
        <f>VLOOKUP($D101,'Planes y paquetes'!$C$661:$L$699,3,FALSE)</f>
        <v>Internet fijo</v>
      </c>
      <c r="H101" s="174">
        <f>IFERROR(VLOOKUP($D101,'Planes y paquetes'!$C$391:$BW$429,69,FALSE),"")</f>
        <v>100</v>
      </c>
      <c r="I101" s="186">
        <f>IFERROR(VLOOKUP($D101,'Planes y paquetes'!$C$391:$BW$429,70,FALSE),"")</f>
        <v>0.76800000000000002</v>
      </c>
      <c r="J101" s="187">
        <f>IFERROR(SUM(VLOOKUP($D101,'Planes y paquetes'!$C$661:$L$699,'Cálculos auxiliares'!L$60,FALSE),VLOOKUP($D101,'Planes y paquetes'!$C$661:$L$699,'Cálculos auxiliares'!J$60,FALSE)),"")</f>
        <v>1867</v>
      </c>
      <c r="K101" s="188">
        <f>IFERROR(VLOOKUP($D101,'Planes y paquetes'!$C$661:$L$699,'Cálculos auxiliares'!K$60,FALSE),"")</f>
        <v>9652</v>
      </c>
      <c r="L101" s="189"/>
      <c r="M101" s="190"/>
    </row>
    <row r="102" spans="3:15" s="103" customFormat="1" ht="12" x14ac:dyDescent="0.2">
      <c r="C102" s="129" t="s">
        <v>393</v>
      </c>
      <c r="M102"/>
    </row>
    <row r="104" spans="3:15" x14ac:dyDescent="0.2">
      <c r="H104" s="182">
        <v>8</v>
      </c>
      <c r="I104" s="93">
        <f>1+H104</f>
        <v>9</v>
      </c>
    </row>
    <row r="105" spans="3:15" ht="12" x14ac:dyDescent="0.2">
      <c r="E105" s="192" t="str">
        <f>"Cantidad "&amp;Year.selected&amp;" de suscriptores por medio de transmisión"</f>
        <v>Cantidad 2025 de suscriptores por medio de transmisión</v>
      </c>
      <c r="F105" s="192"/>
      <c r="G105" s="192"/>
      <c r="H105" s="81" t="str">
        <f>"Distribución "&amp;Year.selected&amp;" de suscriptores por medio de transmisión"</f>
        <v>Distribución 2025 de suscriptores por medio de transmisión</v>
      </c>
      <c r="I105" s="81"/>
    </row>
    <row r="106" spans="3:15" ht="84" x14ac:dyDescent="0.2">
      <c r="C106" s="72" t="s">
        <v>158</v>
      </c>
      <c r="D106" s="43" t="s">
        <v>385</v>
      </c>
      <c r="E106" s="43" t="s">
        <v>64</v>
      </c>
      <c r="F106" s="43" t="s">
        <v>386</v>
      </c>
      <c r="G106" s="43" t="s">
        <v>387</v>
      </c>
      <c r="H106" s="43" t="s">
        <v>392</v>
      </c>
      <c r="I106" s="43" t="s">
        <v>387</v>
      </c>
      <c r="J106" s="43" t="s">
        <v>394</v>
      </c>
      <c r="K106" s="43"/>
      <c r="L106" s="43" t="s">
        <v>214</v>
      </c>
      <c r="M106" s="43" t="s">
        <v>215</v>
      </c>
    </row>
    <row r="107" spans="3:15" ht="12" x14ac:dyDescent="0.2">
      <c r="C107" s="100">
        <v>1</v>
      </c>
      <c r="D107" s="19">
        <v>15</v>
      </c>
      <c r="E107" s="187">
        <f>SUM(F107:G107)</f>
        <v>313349</v>
      </c>
      <c r="F107" s="193">
        <f>SUMIFS($J$63:$J$101,$H$63:$H$101,D107)</f>
        <v>61957</v>
      </c>
      <c r="G107" s="187">
        <f>SUMIFS($K$63:$K$101,$H$63:$H$101,D107)</f>
        <v>251392</v>
      </c>
      <c r="H107" s="178">
        <f t="shared" ref="H107:I118" si="5">IFERROR(F107/$E107,"")</f>
        <v>0.19772522012197263</v>
      </c>
      <c r="I107" s="178">
        <f t="shared" si="5"/>
        <v>0.80227477987802742</v>
      </c>
      <c r="J107" s="194">
        <f t="shared" ref="J107:J118" si="6">IFERROR(H107*local.loop.cooper+I107*local.loop.optical.fiber,"")</f>
        <v>100.52663546601553</v>
      </c>
      <c r="K107" t="s">
        <v>395</v>
      </c>
      <c r="O107" s="112"/>
    </row>
    <row r="108" spans="3:15" ht="12" x14ac:dyDescent="0.2">
      <c r="C108" s="93">
        <f>C107+1</f>
        <v>2</v>
      </c>
      <c r="D108" s="19">
        <v>30</v>
      </c>
      <c r="E108" s="187">
        <f t="shared" ref="E108:E118" si="7">SUM(F108:G108)</f>
        <v>60442</v>
      </c>
      <c r="F108" s="193">
        <f t="shared" ref="F108:F118" si="8">SUMIFS($J$63:$J$101,$H$63:$H$101,D108)</f>
        <v>14355</v>
      </c>
      <c r="G108" s="187">
        <f t="shared" ref="G108:G118" si="9">SUMIFS($K$63:$K$101,$H$63:$H$101,D108)</f>
        <v>46087</v>
      </c>
      <c r="H108" s="178">
        <f t="shared" si="5"/>
        <v>0.23750041361966845</v>
      </c>
      <c r="I108" s="178">
        <f t="shared" si="5"/>
        <v>0.76249958638033155</v>
      </c>
      <c r="J108" s="194">
        <f t="shared" si="6"/>
        <v>100.12832470069242</v>
      </c>
      <c r="K108" t="s">
        <v>395</v>
      </c>
      <c r="O108" s="112"/>
    </row>
    <row r="109" spans="3:15" ht="12" x14ac:dyDescent="0.2">
      <c r="C109" s="93">
        <f t="shared" ref="C109:C118" si="10">C108+1</f>
        <v>3</v>
      </c>
      <c r="D109" s="19">
        <v>40</v>
      </c>
      <c r="E109" s="187">
        <f t="shared" si="7"/>
        <v>491</v>
      </c>
      <c r="F109" s="193">
        <f t="shared" si="8"/>
        <v>63</v>
      </c>
      <c r="G109" s="187">
        <f t="shared" si="9"/>
        <v>428</v>
      </c>
      <c r="H109" s="178">
        <f t="shared" si="5"/>
        <v>0.12830957230142567</v>
      </c>
      <c r="I109" s="178">
        <f t="shared" si="5"/>
        <v>0.8716904276985743</v>
      </c>
      <c r="J109" s="194">
        <f t="shared" si="6"/>
        <v>101.2217672146619</v>
      </c>
      <c r="K109" t="s">
        <v>395</v>
      </c>
      <c r="L109" s="125"/>
      <c r="M109" s="125"/>
      <c r="O109" s="112"/>
    </row>
    <row r="110" spans="3:15" ht="12" x14ac:dyDescent="0.2">
      <c r="C110" s="93">
        <f t="shared" si="10"/>
        <v>4</v>
      </c>
      <c r="D110" s="19">
        <v>50</v>
      </c>
      <c r="E110" s="187">
        <f t="shared" si="7"/>
        <v>8868</v>
      </c>
      <c r="F110" s="193">
        <f t="shared" si="8"/>
        <v>2575</v>
      </c>
      <c r="G110" s="187">
        <f t="shared" si="9"/>
        <v>6293</v>
      </c>
      <c r="H110" s="178">
        <f t="shared" si="5"/>
        <v>0.2903698691926026</v>
      </c>
      <c r="I110" s="178">
        <f t="shared" si="5"/>
        <v>0.70963013080739734</v>
      </c>
      <c r="J110" s="194">
        <f t="shared" si="6"/>
        <v>99.598887343896394</v>
      </c>
      <c r="K110" t="s">
        <v>395</v>
      </c>
      <c r="L110" s="125"/>
      <c r="M110" s="125"/>
      <c r="O110" s="112"/>
    </row>
    <row r="111" spans="3:15" ht="12" x14ac:dyDescent="0.2">
      <c r="C111" s="93">
        <f t="shared" si="10"/>
        <v>5</v>
      </c>
      <c r="D111" s="19">
        <v>80</v>
      </c>
      <c r="E111" s="187">
        <f t="shared" si="7"/>
        <v>7859780</v>
      </c>
      <c r="F111" s="193">
        <f t="shared" si="8"/>
        <v>1377233</v>
      </c>
      <c r="G111" s="187">
        <f t="shared" si="9"/>
        <v>6482547</v>
      </c>
      <c r="H111" s="178">
        <f t="shared" si="5"/>
        <v>0.17522538798795895</v>
      </c>
      <c r="I111" s="178">
        <f t="shared" si="5"/>
        <v>0.82477461201204105</v>
      </c>
      <c r="J111" s="194">
        <f t="shared" si="6"/>
        <v>100.75194990370542</v>
      </c>
      <c r="K111" t="s">
        <v>395</v>
      </c>
      <c r="L111" s="125"/>
      <c r="M111" s="125"/>
      <c r="O111" s="112"/>
    </row>
    <row r="112" spans="3:15" ht="12" x14ac:dyDescent="0.2">
      <c r="C112" s="93">
        <f t="shared" si="10"/>
        <v>6</v>
      </c>
      <c r="D112" s="19">
        <v>100</v>
      </c>
      <c r="E112" s="187">
        <f t="shared" si="7"/>
        <v>704645</v>
      </c>
      <c r="F112" s="193">
        <f t="shared" si="8"/>
        <v>26836</v>
      </c>
      <c r="G112" s="187">
        <f t="shared" si="9"/>
        <v>677809</v>
      </c>
      <c r="H112" s="178">
        <f t="shared" si="5"/>
        <v>3.8084425490850005E-2</v>
      </c>
      <c r="I112" s="178">
        <f t="shared" si="5"/>
        <v>0.96191557450915</v>
      </c>
      <c r="J112" s="194">
        <f t="shared" si="6"/>
        <v>102.12528632085029</v>
      </c>
      <c r="K112" t="s">
        <v>395</v>
      </c>
      <c r="L112" s="125"/>
      <c r="M112" s="125"/>
      <c r="O112" s="112"/>
    </row>
    <row r="113" spans="3:15" ht="12" x14ac:dyDescent="0.2">
      <c r="C113" s="93">
        <f t="shared" si="10"/>
        <v>7</v>
      </c>
      <c r="D113" s="19">
        <v>150</v>
      </c>
      <c r="E113" s="187">
        <f t="shared" si="7"/>
        <v>947510</v>
      </c>
      <c r="F113" s="193">
        <f t="shared" si="8"/>
        <v>49664</v>
      </c>
      <c r="G113" s="187">
        <f t="shared" si="9"/>
        <v>897846</v>
      </c>
      <c r="H113" s="178">
        <f t="shared" si="5"/>
        <v>5.2415277939019116E-2</v>
      </c>
      <c r="I113" s="178">
        <f t="shared" si="5"/>
        <v>0.94758472206098088</v>
      </c>
      <c r="J113" s="194">
        <f t="shared" si="6"/>
        <v>101.98177645189911</v>
      </c>
      <c r="K113" t="s">
        <v>395</v>
      </c>
      <c r="L113" s="125"/>
      <c r="M113" s="125"/>
      <c r="O113" s="112"/>
    </row>
    <row r="114" spans="3:15" ht="12" x14ac:dyDescent="0.2">
      <c r="C114" s="93">
        <f t="shared" si="10"/>
        <v>8</v>
      </c>
      <c r="D114" s="19">
        <v>250</v>
      </c>
      <c r="E114" s="187">
        <f t="shared" si="7"/>
        <v>426764</v>
      </c>
      <c r="F114" s="193">
        <f t="shared" si="8"/>
        <v>30285</v>
      </c>
      <c r="G114" s="187">
        <f t="shared" si="9"/>
        <v>396479</v>
      </c>
      <c r="H114" s="178">
        <f t="shared" si="5"/>
        <v>7.0964280023619611E-2</v>
      </c>
      <c r="I114" s="178">
        <f t="shared" si="5"/>
        <v>0.92903571997638035</v>
      </c>
      <c r="J114" s="194">
        <f t="shared" si="6"/>
        <v>101.79602582276075</v>
      </c>
      <c r="K114" t="s">
        <v>395</v>
      </c>
      <c r="L114" s="125"/>
      <c r="M114" s="125"/>
      <c r="O114" s="112"/>
    </row>
    <row r="115" spans="3:15" ht="12" x14ac:dyDescent="0.2">
      <c r="C115" s="93">
        <f t="shared" si="10"/>
        <v>9</v>
      </c>
      <c r="D115" s="19">
        <v>350</v>
      </c>
      <c r="E115" s="187">
        <f t="shared" si="7"/>
        <v>767556</v>
      </c>
      <c r="F115" s="193">
        <f t="shared" si="8"/>
        <v>17850</v>
      </c>
      <c r="G115" s="187">
        <f t="shared" si="9"/>
        <v>749706</v>
      </c>
      <c r="H115" s="178">
        <f t="shared" si="5"/>
        <v>2.3255632162343855E-2</v>
      </c>
      <c r="I115" s="178">
        <f t="shared" si="5"/>
        <v>0.97674436783765617</v>
      </c>
      <c r="J115" s="194">
        <f t="shared" si="6"/>
        <v>102.27378259453499</v>
      </c>
      <c r="K115" t="s">
        <v>395</v>
      </c>
      <c r="L115" s="125"/>
      <c r="M115" s="125"/>
      <c r="O115" s="112"/>
    </row>
    <row r="116" spans="3:15" ht="12" x14ac:dyDescent="0.2">
      <c r="C116" s="93">
        <f t="shared" si="10"/>
        <v>10</v>
      </c>
      <c r="D116" s="19">
        <v>500</v>
      </c>
      <c r="E116" s="187">
        <f t="shared" si="7"/>
        <v>52921</v>
      </c>
      <c r="F116" s="193">
        <f t="shared" si="8"/>
        <v>200</v>
      </c>
      <c r="G116" s="187">
        <f t="shared" si="9"/>
        <v>52721</v>
      </c>
      <c r="H116" s="178">
        <f t="shared" si="5"/>
        <v>3.7792180797792938E-3</v>
      </c>
      <c r="I116" s="178">
        <f t="shared" si="5"/>
        <v>0.99622078192022068</v>
      </c>
      <c r="J116" s="194">
        <f t="shared" si="6"/>
        <v>102.46882037353221</v>
      </c>
      <c r="K116" t="s">
        <v>395</v>
      </c>
      <c r="L116" s="125"/>
      <c r="M116" s="125"/>
      <c r="O116" s="112"/>
    </row>
    <row r="117" spans="3:15" ht="12" x14ac:dyDescent="0.2">
      <c r="C117" s="93">
        <f t="shared" si="10"/>
        <v>11</v>
      </c>
      <c r="D117" s="19">
        <v>750</v>
      </c>
      <c r="E117" s="187">
        <f t="shared" si="7"/>
        <v>142426</v>
      </c>
      <c r="F117" s="193">
        <f t="shared" si="8"/>
        <v>5568</v>
      </c>
      <c r="G117" s="187">
        <f t="shared" si="9"/>
        <v>136858</v>
      </c>
      <c r="H117" s="178">
        <f t="shared" si="5"/>
        <v>3.909398564868774E-2</v>
      </c>
      <c r="I117" s="178">
        <f t="shared" si="5"/>
        <v>0.96090601435131229</v>
      </c>
      <c r="J117" s="194">
        <f t="shared" si="6"/>
        <v>102.11517653523401</v>
      </c>
      <c r="K117" t="s">
        <v>395</v>
      </c>
      <c r="L117" s="125"/>
      <c r="M117" s="125"/>
      <c r="O117" s="112"/>
    </row>
    <row r="118" spans="3:15" ht="12.6" thickBot="1" x14ac:dyDescent="0.25">
      <c r="C118" s="93">
        <f t="shared" si="10"/>
        <v>12</v>
      </c>
      <c r="D118" s="19">
        <v>1000</v>
      </c>
      <c r="E118" s="187">
        <f t="shared" si="7"/>
        <v>47693</v>
      </c>
      <c r="F118" s="193">
        <f t="shared" si="8"/>
        <v>1062</v>
      </c>
      <c r="G118" s="187">
        <f t="shared" si="9"/>
        <v>46631</v>
      </c>
      <c r="H118" s="178">
        <f t="shared" si="5"/>
        <v>2.2267418698760824E-2</v>
      </c>
      <c r="I118" s="178">
        <f t="shared" si="5"/>
        <v>0.97773258130123919</v>
      </c>
      <c r="J118" s="194">
        <f t="shared" si="6"/>
        <v>102.28367861329365</v>
      </c>
      <c r="K118" t="s">
        <v>395</v>
      </c>
      <c r="L118" s="125"/>
      <c r="M118" s="230"/>
      <c r="O118" s="112"/>
    </row>
    <row r="119" spans="3:15" x14ac:dyDescent="0.2">
      <c r="D119" s="53"/>
      <c r="E119" s="195"/>
      <c r="F119" s="53"/>
      <c r="G119" s="53"/>
      <c r="H119" s="196"/>
      <c r="I119" s="53"/>
      <c r="J119" s="53"/>
      <c r="K119" s="53"/>
      <c r="L119" s="53"/>
      <c r="M119" s="53"/>
    </row>
    <row r="121" spans="3:15" ht="12" x14ac:dyDescent="0.2">
      <c r="C121" s="101" t="s">
        <v>393</v>
      </c>
      <c r="K121" s="197"/>
    </row>
    <row r="124" spans="3:15" ht="36" x14ac:dyDescent="0.2">
      <c r="C124" s="72" t="s">
        <v>158</v>
      </c>
      <c r="D124" s="43" t="s">
        <v>396</v>
      </c>
      <c r="E124" s="43"/>
      <c r="F124" s="43"/>
      <c r="G124" s="43"/>
      <c r="H124" s="43"/>
      <c r="I124" s="43"/>
      <c r="J124" s="43" t="s">
        <v>394</v>
      </c>
      <c r="K124" s="43"/>
      <c r="L124" s="43" t="s">
        <v>214</v>
      </c>
      <c r="M124" s="43" t="s">
        <v>215</v>
      </c>
    </row>
    <row r="125" spans="3:15" ht="12" x14ac:dyDescent="0.2">
      <c r="C125" s="100">
        <v>1</v>
      </c>
      <c r="D125" s="19" t="str">
        <f>D107&amp;" "&amp;K107</f>
        <v>15 Mbps</v>
      </c>
      <c r="H125" s="198">
        <f>local.loop.cooper</f>
        <v>92.492615930921417</v>
      </c>
      <c r="J125" s="194">
        <f>H125</f>
        <v>92.492615930921417</v>
      </c>
    </row>
    <row r="126" spans="3:15" ht="12" x14ac:dyDescent="0.2">
      <c r="C126" s="93">
        <f>C125+1</f>
        <v>2</v>
      </c>
      <c r="D126" s="19" t="str">
        <f t="shared" ref="D126:D136" si="11">D108&amp;" "&amp;K108</f>
        <v>30 Mbps</v>
      </c>
      <c r="H126" s="199">
        <f>local.loop.optical.fiber</f>
        <v>102.50666565128724</v>
      </c>
      <c r="J126" s="194">
        <f t="shared" ref="J126:J136" si="12">H126</f>
        <v>102.50666565128724</v>
      </c>
    </row>
    <row r="127" spans="3:15" ht="12" x14ac:dyDescent="0.2">
      <c r="C127" s="93">
        <f t="shared" ref="C127:C136" si="13">C126+1</f>
        <v>3</v>
      </c>
      <c r="D127" s="19" t="str">
        <f t="shared" si="11"/>
        <v>40 Mbps</v>
      </c>
      <c r="H127" s="194">
        <f>H126</f>
        <v>102.50666565128724</v>
      </c>
      <c r="J127" s="194">
        <f t="shared" si="12"/>
        <v>102.50666565128724</v>
      </c>
    </row>
    <row r="128" spans="3:15" ht="12" x14ac:dyDescent="0.2">
      <c r="C128" s="93">
        <f t="shared" si="13"/>
        <v>4</v>
      </c>
      <c r="D128" s="19" t="str">
        <f t="shared" si="11"/>
        <v>50 Mbps</v>
      </c>
      <c r="H128" s="194">
        <f>H126</f>
        <v>102.50666565128724</v>
      </c>
      <c r="J128" s="194">
        <f t="shared" si="12"/>
        <v>102.50666565128724</v>
      </c>
    </row>
    <row r="129" spans="1:62" ht="12" x14ac:dyDescent="0.2">
      <c r="C129" s="93">
        <f t="shared" si="13"/>
        <v>5</v>
      </c>
      <c r="D129" s="19" t="str">
        <f t="shared" si="11"/>
        <v>80 Mbps</v>
      </c>
      <c r="H129" s="194">
        <f t="shared" ref="H129:H136" si="14">H128</f>
        <v>102.50666565128724</v>
      </c>
      <c r="J129" s="194">
        <f t="shared" si="12"/>
        <v>102.50666565128724</v>
      </c>
      <c r="M129" s="161"/>
    </row>
    <row r="130" spans="1:62" ht="12" x14ac:dyDescent="0.2">
      <c r="C130" s="93">
        <f t="shared" si="13"/>
        <v>6</v>
      </c>
      <c r="D130" s="19" t="str">
        <f t="shared" si="11"/>
        <v>100 Mbps</v>
      </c>
      <c r="H130" s="194">
        <f t="shared" si="14"/>
        <v>102.50666565128724</v>
      </c>
      <c r="J130" s="194">
        <f t="shared" si="12"/>
        <v>102.50666565128724</v>
      </c>
    </row>
    <row r="131" spans="1:62" ht="12" x14ac:dyDescent="0.2">
      <c r="C131" s="93">
        <f t="shared" si="13"/>
        <v>7</v>
      </c>
      <c r="D131" s="19" t="str">
        <f t="shared" si="11"/>
        <v>150 Mbps</v>
      </c>
      <c r="H131" s="194">
        <f t="shared" si="14"/>
        <v>102.50666565128724</v>
      </c>
      <c r="J131" s="194">
        <f t="shared" si="12"/>
        <v>102.50666565128724</v>
      </c>
    </row>
    <row r="132" spans="1:62" ht="12" x14ac:dyDescent="0.2">
      <c r="C132" s="93">
        <f t="shared" si="13"/>
        <v>8</v>
      </c>
      <c r="D132" s="19" t="str">
        <f t="shared" si="11"/>
        <v>250 Mbps</v>
      </c>
      <c r="H132" s="194">
        <f t="shared" si="14"/>
        <v>102.50666565128724</v>
      </c>
      <c r="J132" s="194">
        <f t="shared" si="12"/>
        <v>102.50666565128724</v>
      </c>
    </row>
    <row r="133" spans="1:62" ht="12" x14ac:dyDescent="0.2">
      <c r="C133" s="93">
        <f t="shared" si="13"/>
        <v>9</v>
      </c>
      <c r="D133" s="19" t="str">
        <f t="shared" si="11"/>
        <v>350 Mbps</v>
      </c>
      <c r="H133" s="194">
        <f t="shared" si="14"/>
        <v>102.50666565128724</v>
      </c>
      <c r="J133" s="194">
        <f t="shared" si="12"/>
        <v>102.50666565128724</v>
      </c>
    </row>
    <row r="134" spans="1:62" ht="12" x14ac:dyDescent="0.2">
      <c r="C134" s="93">
        <f t="shared" si="13"/>
        <v>10</v>
      </c>
      <c r="D134" s="19" t="str">
        <f t="shared" si="11"/>
        <v>500 Mbps</v>
      </c>
      <c r="H134" s="194">
        <f t="shared" si="14"/>
        <v>102.50666565128724</v>
      </c>
      <c r="J134" s="194">
        <f t="shared" si="12"/>
        <v>102.50666565128724</v>
      </c>
    </row>
    <row r="135" spans="1:62" ht="12" x14ac:dyDescent="0.2">
      <c r="C135" s="93">
        <f t="shared" si="13"/>
        <v>11</v>
      </c>
      <c r="D135" s="19" t="str">
        <f t="shared" si="11"/>
        <v>750 Mbps</v>
      </c>
      <c r="H135" s="194">
        <f t="shared" si="14"/>
        <v>102.50666565128724</v>
      </c>
      <c r="J135" s="194">
        <f t="shared" si="12"/>
        <v>102.50666565128724</v>
      </c>
    </row>
    <row r="136" spans="1:62" ht="12.6" thickBot="1" x14ac:dyDescent="0.25">
      <c r="C136" s="93">
        <f t="shared" si="13"/>
        <v>12</v>
      </c>
      <c r="D136" s="19" t="str">
        <f t="shared" si="11"/>
        <v>1000 Mbps</v>
      </c>
      <c r="H136" s="194">
        <f t="shared" si="14"/>
        <v>102.50666565128724</v>
      </c>
      <c r="J136" s="194">
        <f t="shared" si="12"/>
        <v>102.50666565128724</v>
      </c>
    </row>
    <row r="137" spans="1:62" x14ac:dyDescent="0.2">
      <c r="D137" s="53"/>
      <c r="E137" s="53"/>
      <c r="F137" s="53"/>
      <c r="G137" s="53"/>
      <c r="H137" s="53"/>
      <c r="I137" s="53"/>
      <c r="J137" s="53"/>
      <c r="K137" s="53"/>
      <c r="L137" s="181" t="s">
        <v>397</v>
      </c>
      <c r="M137" s="53"/>
    </row>
    <row r="139" spans="1:62" ht="12" x14ac:dyDescent="0.2">
      <c r="A139" s="99">
        <v>3</v>
      </c>
      <c r="B139" s="99" t="s">
        <v>398</v>
      </c>
      <c r="C139" s="76"/>
      <c r="D139" s="76"/>
      <c r="E139" s="76"/>
      <c r="F139" s="76"/>
      <c r="G139" s="76"/>
      <c r="H139" s="76"/>
      <c r="I139" s="76"/>
      <c r="J139" s="76"/>
      <c r="K139" s="76"/>
      <c r="L139" s="76"/>
      <c r="M139" s="76"/>
      <c r="N139" s="76"/>
      <c r="O139" s="76"/>
      <c r="P139" s="76"/>
      <c r="Q139" s="76"/>
      <c r="R139" s="76"/>
      <c r="S139" s="76"/>
      <c r="T139" s="76"/>
      <c r="U139" s="76"/>
      <c r="V139" s="76"/>
      <c r="W139" s="76"/>
      <c r="X139" s="76"/>
      <c r="Y139" s="76"/>
      <c r="Z139" s="76"/>
      <c r="AA139" s="76"/>
      <c r="AB139" s="76"/>
      <c r="AC139" s="76"/>
      <c r="AD139" s="76"/>
      <c r="AE139" s="76"/>
      <c r="AF139" s="76"/>
      <c r="AG139" s="76"/>
      <c r="AH139" s="76"/>
      <c r="AI139" s="76"/>
      <c r="AJ139" s="76"/>
      <c r="AK139" s="76"/>
      <c r="AL139" s="76"/>
      <c r="AM139" s="76"/>
      <c r="AN139" s="76"/>
      <c r="AO139" s="76"/>
      <c r="AP139" s="76"/>
      <c r="AQ139" s="76"/>
      <c r="AR139" s="76"/>
      <c r="AS139" s="76"/>
      <c r="AT139" s="76"/>
      <c r="AU139" s="76"/>
      <c r="AV139" s="76"/>
      <c r="AW139" s="76"/>
      <c r="AX139" s="76"/>
      <c r="AY139" s="76"/>
      <c r="AZ139" s="76"/>
      <c r="BA139" s="76"/>
      <c r="BB139" s="76"/>
      <c r="BC139" s="76"/>
      <c r="BD139" s="76"/>
      <c r="BE139" s="76"/>
      <c r="BF139" s="76"/>
      <c r="BG139" s="76"/>
      <c r="BH139" s="76"/>
      <c r="BI139" s="76"/>
      <c r="BJ139" s="76"/>
    </row>
    <row r="141" spans="1:62" x14ac:dyDescent="0.2">
      <c r="J141" s="200"/>
    </row>
    <row r="142" spans="1:62" ht="12" x14ac:dyDescent="0.2">
      <c r="J142" s="200"/>
      <c r="Q142" s="73" t="s">
        <v>399</v>
      </c>
      <c r="R142" s="73"/>
      <c r="S142" s="73"/>
      <c r="T142" s="73"/>
      <c r="U142" s="73"/>
      <c r="V142" s="73"/>
      <c r="W142" s="73"/>
      <c r="X142" s="73"/>
      <c r="Y142" s="73"/>
      <c r="Z142" s="73"/>
      <c r="AA142" s="73"/>
      <c r="AB142" s="73"/>
      <c r="AC142" s="73"/>
      <c r="AD142" s="73"/>
      <c r="AE142" s="73"/>
      <c r="AF142" s="73"/>
      <c r="AG142" s="73"/>
      <c r="AH142" s="73"/>
      <c r="AI142" s="73"/>
      <c r="AJ142" s="73"/>
      <c r="AK142" s="73"/>
      <c r="AL142" s="73"/>
    </row>
    <row r="143" spans="1:62" ht="60" x14ac:dyDescent="0.2">
      <c r="C143" s="72" t="s">
        <v>158</v>
      </c>
      <c r="D143" s="72" t="s">
        <v>379</v>
      </c>
      <c r="E143" s="73"/>
      <c r="F143" s="43" t="s">
        <v>310</v>
      </c>
      <c r="G143" s="43" t="s">
        <v>311</v>
      </c>
      <c r="H143" s="43" t="s">
        <v>385</v>
      </c>
      <c r="I143" s="43" t="s">
        <v>400</v>
      </c>
      <c r="J143" s="43" t="s">
        <v>401</v>
      </c>
      <c r="K143" s="43" t="str">
        <f>"Suscriptores por el plan/paquete en el año "&amp;Year.selected</f>
        <v>Suscriptores por el plan/paquete en el año 2025</v>
      </c>
      <c r="L143" s="43" t="s">
        <v>214</v>
      </c>
      <c r="M143" s="43" t="s">
        <v>215</v>
      </c>
      <c r="Q143" s="201">
        <v>3</v>
      </c>
      <c r="R143" s="201">
        <v>5</v>
      </c>
      <c r="S143" s="201">
        <v>10</v>
      </c>
      <c r="T143" s="201">
        <v>15</v>
      </c>
      <c r="U143" s="201">
        <v>20</v>
      </c>
      <c r="V143" s="201">
        <v>30</v>
      </c>
      <c r="W143" s="201">
        <v>40</v>
      </c>
      <c r="X143" s="201">
        <v>50</v>
      </c>
      <c r="Y143" s="201">
        <v>60</v>
      </c>
      <c r="Z143" s="201">
        <v>70</v>
      </c>
      <c r="AA143" s="201">
        <v>80</v>
      </c>
      <c r="AB143" s="201">
        <v>100</v>
      </c>
      <c r="AC143" s="201">
        <v>120</v>
      </c>
      <c r="AD143" s="201">
        <v>150</v>
      </c>
      <c r="AE143" s="201">
        <v>200</v>
      </c>
      <c r="AF143" s="201">
        <v>250</v>
      </c>
      <c r="AG143" s="201">
        <v>300</v>
      </c>
      <c r="AH143" s="201">
        <v>350</v>
      </c>
      <c r="AI143" s="201">
        <v>400</v>
      </c>
      <c r="AJ143" s="201">
        <v>500</v>
      </c>
      <c r="AK143" s="201">
        <v>750</v>
      </c>
      <c r="AL143" s="201">
        <v>1000</v>
      </c>
    </row>
    <row r="144" spans="1:62" x14ac:dyDescent="0.2">
      <c r="B144" s="145" t="str">
        <f>D144&amp;F144</f>
        <v>Paquete 249Residencial</v>
      </c>
      <c r="C144" s="100">
        <v>1</v>
      </c>
      <c r="D144" s="146" t="str">
        <f t="array" ref="D144:D182">vector.broadband.plans.names</f>
        <v>Paquete 249</v>
      </c>
      <c r="F144" s="174" t="str">
        <f>IFERROR(VLOOKUP($D144,'Planes y paquetes'!$C$661:$E$699,2,FALSE),"")</f>
        <v>Residencial</v>
      </c>
      <c r="G144" s="174" t="str">
        <f>IFERROR(VLOOKUP($D144,'Planes y paquetes'!$C$661:$E$699,3,FALSE),"")</f>
        <v>Telefonía fija + Internet fijo</v>
      </c>
      <c r="H144" s="174" t="str">
        <f>IFERROR(VLOOKUP($D144,'Planes y paquetes'!$C$391:$BW$429,13,FALSE),"")</f>
        <v>15 Mbps</v>
      </c>
      <c r="I144" s="202">
        <f>INDEX(vector.implicit.prices.broadband.after.discount,MATCH('Cálculos auxiliares'!D144,vector.plans.names,0))</f>
        <v>68</v>
      </c>
      <c r="J144" s="202">
        <f t="shared" ref="J144:J182" si="15">IF(G144="Internet fijo",I144-VLOOKUP(H144,weighted.average.local.loop.by.plan.by.tx.media,5,FALSE),I144)</f>
        <v>68</v>
      </c>
      <c r="K144" s="203">
        <f t="shared" ref="K144:K175" si="16">VLOOKUP(B144,AEP.broadband.distribution.by.plan,6+MATCH(Year.selected,Years,0),FALSE)</f>
        <v>1.8212855509195738E-2</v>
      </c>
      <c r="M144" s="497">
        <f>LEFT(H144,FIND(" ",H144))*1</f>
        <v>15</v>
      </c>
      <c r="Q144" s="93">
        <f t="shared" ref="Q144:AI159" si="17">IF(Q$143=$M144,1,0)</f>
        <v>0</v>
      </c>
      <c r="R144" s="93">
        <f t="shared" si="17"/>
        <v>0</v>
      </c>
      <c r="S144" s="93">
        <f t="shared" si="17"/>
        <v>0</v>
      </c>
      <c r="T144" s="93">
        <f t="shared" si="17"/>
        <v>1</v>
      </c>
      <c r="U144" s="93">
        <f t="shared" si="17"/>
        <v>0</v>
      </c>
      <c r="V144" s="93">
        <f t="shared" si="17"/>
        <v>0</v>
      </c>
      <c r="W144" s="93">
        <f t="shared" si="17"/>
        <v>0</v>
      </c>
      <c r="X144" s="93">
        <f t="shared" si="17"/>
        <v>0</v>
      </c>
      <c r="Y144" s="93">
        <f t="shared" si="17"/>
        <v>0</v>
      </c>
      <c r="Z144" s="93">
        <f t="shared" si="17"/>
        <v>0</v>
      </c>
      <c r="AA144" s="93">
        <f t="shared" si="17"/>
        <v>0</v>
      </c>
      <c r="AB144" s="93">
        <f t="shared" si="17"/>
        <v>0</v>
      </c>
      <c r="AC144" s="93">
        <f t="shared" si="17"/>
        <v>0</v>
      </c>
      <c r="AD144" s="93">
        <f t="shared" si="17"/>
        <v>0</v>
      </c>
      <c r="AE144" s="93">
        <f t="shared" si="17"/>
        <v>0</v>
      </c>
      <c r="AF144" s="93">
        <f t="shared" si="17"/>
        <v>0</v>
      </c>
      <c r="AG144" s="93">
        <f t="shared" si="17"/>
        <v>0</v>
      </c>
      <c r="AH144" s="93">
        <f t="shared" si="17"/>
        <v>0</v>
      </c>
      <c r="AI144" s="93">
        <f t="shared" si="17"/>
        <v>0</v>
      </c>
      <c r="AJ144" s="93">
        <f t="shared" ref="AJ144:AL163" si="18">IF(AJ$143=$M144,1,0)</f>
        <v>0</v>
      </c>
      <c r="AK144" s="93">
        <f t="shared" si="18"/>
        <v>0</v>
      </c>
      <c r="AL144" s="93">
        <f t="shared" si="18"/>
        <v>0</v>
      </c>
    </row>
    <row r="145" spans="2:38" x14ac:dyDescent="0.2">
      <c r="B145" s="145" t="str">
        <f t="shared" ref="B145:B182" si="19">D145&amp;F145</f>
        <v>Paquete 289Residencial</v>
      </c>
      <c r="C145" s="93">
        <f>1+C144</f>
        <v>2</v>
      </c>
      <c r="D145" s="146" t="str">
        <v>Paquete 289</v>
      </c>
      <c r="F145" s="174" t="str">
        <f>IFERROR(VLOOKUP($D145,'Planes y paquetes'!$C$661:$E$699,2,FALSE),"")</f>
        <v>Residencial</v>
      </c>
      <c r="G145" s="174" t="str">
        <f>IFERROR(VLOOKUP($D145,'Planes y paquetes'!$C$661:$E$699,3,FALSE),"")</f>
        <v>Telefonía fija + Internet fijo</v>
      </c>
      <c r="H145" s="174" t="str">
        <f>IFERROR(VLOOKUP($D145,'Planes y paquetes'!$C$391:$BW$429,13,FALSE),"")</f>
        <v>15 Mbps</v>
      </c>
      <c r="I145" s="202">
        <f>INDEX(vector.implicit.prices.broadband.after.discount,MATCH('Cálculos auxiliares'!D145,vector.plans.names,0))</f>
        <v>107</v>
      </c>
      <c r="J145" s="202">
        <f t="shared" si="15"/>
        <v>107</v>
      </c>
      <c r="K145" s="203">
        <f t="shared" si="16"/>
        <v>4.4578413349053853E-3</v>
      </c>
      <c r="M145" s="497">
        <f t="shared" ref="M145:M182" si="20">LEFT(H145,FIND(" ",H145))*1</f>
        <v>15</v>
      </c>
      <c r="Q145" s="93">
        <f t="shared" si="17"/>
        <v>0</v>
      </c>
      <c r="R145" s="93">
        <f t="shared" si="17"/>
        <v>0</v>
      </c>
      <c r="S145" s="93">
        <f t="shared" si="17"/>
        <v>0</v>
      </c>
      <c r="T145" s="93">
        <f t="shared" si="17"/>
        <v>1</v>
      </c>
      <c r="U145" s="93">
        <f t="shared" si="17"/>
        <v>0</v>
      </c>
      <c r="V145" s="93">
        <f t="shared" si="17"/>
        <v>0</v>
      </c>
      <c r="W145" s="93">
        <f t="shared" si="17"/>
        <v>0</v>
      </c>
      <c r="X145" s="93">
        <f t="shared" si="17"/>
        <v>0</v>
      </c>
      <c r="Y145" s="93">
        <f t="shared" si="17"/>
        <v>0</v>
      </c>
      <c r="Z145" s="93">
        <f t="shared" si="17"/>
        <v>0</v>
      </c>
      <c r="AA145" s="93">
        <f t="shared" si="17"/>
        <v>0</v>
      </c>
      <c r="AB145" s="93">
        <f t="shared" si="17"/>
        <v>0</v>
      </c>
      <c r="AC145" s="93">
        <f t="shared" si="17"/>
        <v>0</v>
      </c>
      <c r="AD145" s="93">
        <f t="shared" si="17"/>
        <v>0</v>
      </c>
      <c r="AE145" s="93">
        <f t="shared" si="17"/>
        <v>0</v>
      </c>
      <c r="AF145" s="93">
        <f t="shared" si="17"/>
        <v>0</v>
      </c>
      <c r="AG145" s="93">
        <f t="shared" si="17"/>
        <v>0</v>
      </c>
      <c r="AH145" s="93">
        <f t="shared" si="17"/>
        <v>0</v>
      </c>
      <c r="AI145" s="93">
        <f t="shared" si="17"/>
        <v>0</v>
      </c>
      <c r="AJ145" s="93">
        <f t="shared" si="18"/>
        <v>0</v>
      </c>
      <c r="AK145" s="93">
        <f t="shared" si="18"/>
        <v>0</v>
      </c>
      <c r="AL145" s="93">
        <f t="shared" si="18"/>
        <v>0</v>
      </c>
    </row>
    <row r="146" spans="2:38" x14ac:dyDescent="0.2">
      <c r="B146" s="145" t="str">
        <f t="shared" si="19"/>
        <v>Paquete 333Residencial</v>
      </c>
      <c r="C146" s="93">
        <f t="shared" ref="C146:C182" si="21">1+C145</f>
        <v>3</v>
      </c>
      <c r="D146" s="146" t="str">
        <v>Paquete 333</v>
      </c>
      <c r="F146" s="174" t="str">
        <f>IFERROR(VLOOKUP($D146,'Planes y paquetes'!$C$661:$E$699,2,FALSE),"")</f>
        <v>Residencial</v>
      </c>
      <c r="G146" s="174" t="str">
        <f>IFERROR(VLOOKUP($D146,'Planes y paquetes'!$C$661:$E$699,3,FALSE),"")</f>
        <v>Telefonía fija + Internet fijo</v>
      </c>
      <c r="H146" s="174" t="str">
        <f>IFERROR(VLOOKUP($D146,'Planes y paquetes'!$C$391:$BW$429,13,FALSE),"")</f>
        <v>15 Mbps</v>
      </c>
      <c r="I146" s="202">
        <f>INDEX(vector.implicit.prices.broadband.after.discount,MATCH('Cálculos auxiliares'!D146,vector.plans.names,0))</f>
        <v>103</v>
      </c>
      <c r="J146" s="202">
        <f t="shared" si="15"/>
        <v>103</v>
      </c>
      <c r="K146" s="203">
        <f t="shared" si="16"/>
        <v>6.0188654479056778E-3</v>
      </c>
      <c r="M146" s="497">
        <f t="shared" si="20"/>
        <v>15</v>
      </c>
      <c r="Q146" s="93">
        <f t="shared" si="17"/>
        <v>0</v>
      </c>
      <c r="R146" s="93">
        <f t="shared" si="17"/>
        <v>0</v>
      </c>
      <c r="S146" s="93">
        <f t="shared" si="17"/>
        <v>0</v>
      </c>
      <c r="T146" s="93">
        <f t="shared" si="17"/>
        <v>1</v>
      </c>
      <c r="U146" s="93">
        <f t="shared" si="17"/>
        <v>0</v>
      </c>
      <c r="V146" s="93">
        <f t="shared" si="17"/>
        <v>0</v>
      </c>
      <c r="W146" s="93">
        <f t="shared" si="17"/>
        <v>0</v>
      </c>
      <c r="X146" s="93">
        <f t="shared" si="17"/>
        <v>0</v>
      </c>
      <c r="Y146" s="93">
        <f t="shared" si="17"/>
        <v>0</v>
      </c>
      <c r="Z146" s="93">
        <f t="shared" si="17"/>
        <v>0</v>
      </c>
      <c r="AA146" s="93">
        <f t="shared" si="17"/>
        <v>0</v>
      </c>
      <c r="AB146" s="93">
        <f t="shared" si="17"/>
        <v>0</v>
      </c>
      <c r="AC146" s="93">
        <f t="shared" si="17"/>
        <v>0</v>
      </c>
      <c r="AD146" s="93">
        <f t="shared" si="17"/>
        <v>0</v>
      </c>
      <c r="AE146" s="93">
        <f t="shared" si="17"/>
        <v>0</v>
      </c>
      <c r="AF146" s="93">
        <f t="shared" si="17"/>
        <v>0</v>
      </c>
      <c r="AG146" s="93">
        <f t="shared" si="17"/>
        <v>0</v>
      </c>
      <c r="AH146" s="93">
        <f t="shared" si="17"/>
        <v>0</v>
      </c>
      <c r="AI146" s="93">
        <f t="shared" si="17"/>
        <v>0</v>
      </c>
      <c r="AJ146" s="93">
        <f t="shared" si="18"/>
        <v>0</v>
      </c>
      <c r="AK146" s="93">
        <f t="shared" si="18"/>
        <v>0</v>
      </c>
      <c r="AL146" s="93">
        <f t="shared" si="18"/>
        <v>0</v>
      </c>
    </row>
    <row r="147" spans="2:38" x14ac:dyDescent="0.2">
      <c r="B147" s="145" t="str">
        <f t="shared" si="19"/>
        <v>Paquete 389Residencial</v>
      </c>
      <c r="C147" s="93">
        <f t="shared" si="21"/>
        <v>4</v>
      </c>
      <c r="D147" s="146" t="str">
        <v>Paquete 389</v>
      </c>
      <c r="F147" s="174" t="str">
        <f>IFERROR(VLOOKUP($D147,'Planes y paquetes'!$C$661:$E$699,2,FALSE),"")</f>
        <v>Residencial</v>
      </c>
      <c r="G147" s="174" t="str">
        <f>IFERROR(VLOOKUP($D147,'Planes y paquetes'!$C$661:$E$699,3,FALSE),"")</f>
        <v>Telefonía fija + Internet fijo</v>
      </c>
      <c r="H147" s="174" t="str">
        <f>IFERROR(VLOOKUP($D147,'Planes y paquetes'!$C$391:$BW$429,13,FALSE),"")</f>
        <v>80 Mbps</v>
      </c>
      <c r="I147" s="202">
        <f>INDEX(vector.implicit.prices.broadband.after.discount,MATCH('Cálculos auxiliares'!D147,vector.plans.names,0))</f>
        <v>149.00119394431442</v>
      </c>
      <c r="J147" s="202">
        <f t="shared" si="15"/>
        <v>149.00119394431442</v>
      </c>
      <c r="K147" s="203">
        <f t="shared" si="16"/>
        <v>0.44509507512196506</v>
      </c>
      <c r="M147" s="497">
        <f t="shared" si="20"/>
        <v>80</v>
      </c>
      <c r="Q147" s="93">
        <f t="shared" si="17"/>
        <v>0</v>
      </c>
      <c r="R147" s="93">
        <f t="shared" si="17"/>
        <v>0</v>
      </c>
      <c r="S147" s="93">
        <f t="shared" si="17"/>
        <v>0</v>
      </c>
      <c r="T147" s="93">
        <f t="shared" si="17"/>
        <v>0</v>
      </c>
      <c r="U147" s="93">
        <f t="shared" si="17"/>
        <v>0</v>
      </c>
      <c r="V147" s="93">
        <f t="shared" si="17"/>
        <v>0</v>
      </c>
      <c r="W147" s="93">
        <f t="shared" si="17"/>
        <v>0</v>
      </c>
      <c r="X147" s="93">
        <f t="shared" si="17"/>
        <v>0</v>
      </c>
      <c r="Y147" s="93">
        <f t="shared" si="17"/>
        <v>0</v>
      </c>
      <c r="Z147" s="93">
        <f t="shared" si="17"/>
        <v>0</v>
      </c>
      <c r="AA147" s="93">
        <f t="shared" si="17"/>
        <v>1</v>
      </c>
      <c r="AB147" s="93">
        <f t="shared" si="17"/>
        <v>0</v>
      </c>
      <c r="AC147" s="93">
        <f t="shared" si="17"/>
        <v>0</v>
      </c>
      <c r="AD147" s="93">
        <f t="shared" si="17"/>
        <v>0</v>
      </c>
      <c r="AE147" s="93">
        <f t="shared" si="17"/>
        <v>0</v>
      </c>
      <c r="AF147" s="93">
        <f t="shared" si="17"/>
        <v>0</v>
      </c>
      <c r="AG147" s="93">
        <f t="shared" si="17"/>
        <v>0</v>
      </c>
      <c r="AH147" s="93">
        <f t="shared" si="17"/>
        <v>0</v>
      </c>
      <c r="AI147" s="93">
        <f t="shared" si="17"/>
        <v>0</v>
      </c>
      <c r="AJ147" s="93">
        <f t="shared" si="18"/>
        <v>0</v>
      </c>
      <c r="AK147" s="93">
        <f t="shared" si="18"/>
        <v>0</v>
      </c>
      <c r="AL147" s="93">
        <f t="shared" si="18"/>
        <v>0</v>
      </c>
    </row>
    <row r="148" spans="2:38" x14ac:dyDescent="0.2">
      <c r="B148" s="145" t="str">
        <f t="shared" si="19"/>
        <v>Paquete 435Residencial</v>
      </c>
      <c r="C148" s="93">
        <f t="shared" si="21"/>
        <v>5</v>
      </c>
      <c r="D148" s="146" t="str">
        <v>Paquete 435</v>
      </c>
      <c r="F148" s="174" t="str">
        <f>IFERROR(VLOOKUP($D148,'Planes y paquetes'!$C$661:$E$699,2,FALSE),"")</f>
        <v>Residencial</v>
      </c>
      <c r="G148" s="174" t="str">
        <f>IFERROR(VLOOKUP($D148,'Planes y paquetes'!$C$661:$E$699,3,FALSE),"")</f>
        <v>Telefonía fija + Internet fijo</v>
      </c>
      <c r="H148" s="174" t="str">
        <f>IFERROR(VLOOKUP($D148,'Planes y paquetes'!$C$391:$BW$429,13,FALSE),"")</f>
        <v>100 Mbps</v>
      </c>
      <c r="I148" s="202">
        <f>INDEX(vector.implicit.prices.broadband.after.discount,MATCH('Cálculos auxiliares'!D148,vector.plans.names,0))</f>
        <v>145.03540903540903</v>
      </c>
      <c r="J148" s="202">
        <f t="shared" si="15"/>
        <v>145.03540903540903</v>
      </c>
      <c r="K148" s="203">
        <f t="shared" si="16"/>
        <v>2.4192037399236969E-2</v>
      </c>
      <c r="M148" s="497">
        <f t="shared" si="20"/>
        <v>100</v>
      </c>
      <c r="Q148" s="93">
        <f t="shared" si="17"/>
        <v>0</v>
      </c>
      <c r="R148" s="93">
        <f t="shared" si="17"/>
        <v>0</v>
      </c>
      <c r="S148" s="93">
        <f t="shared" si="17"/>
        <v>0</v>
      </c>
      <c r="T148" s="93">
        <f t="shared" si="17"/>
        <v>0</v>
      </c>
      <c r="U148" s="93">
        <f t="shared" si="17"/>
        <v>0</v>
      </c>
      <c r="V148" s="93">
        <f t="shared" si="17"/>
        <v>0</v>
      </c>
      <c r="W148" s="93">
        <f t="shared" si="17"/>
        <v>0</v>
      </c>
      <c r="X148" s="93">
        <f t="shared" si="17"/>
        <v>0</v>
      </c>
      <c r="Y148" s="93">
        <f t="shared" si="17"/>
        <v>0</v>
      </c>
      <c r="Z148" s="93">
        <f t="shared" si="17"/>
        <v>0</v>
      </c>
      <c r="AA148" s="93">
        <f t="shared" si="17"/>
        <v>0</v>
      </c>
      <c r="AB148" s="93">
        <f t="shared" si="17"/>
        <v>1</v>
      </c>
      <c r="AC148" s="93">
        <f t="shared" si="17"/>
        <v>0</v>
      </c>
      <c r="AD148" s="93">
        <f t="shared" si="17"/>
        <v>0</v>
      </c>
      <c r="AE148" s="93">
        <f t="shared" si="17"/>
        <v>0</v>
      </c>
      <c r="AF148" s="93">
        <f t="shared" si="17"/>
        <v>0</v>
      </c>
      <c r="AG148" s="93">
        <f t="shared" si="17"/>
        <v>0</v>
      </c>
      <c r="AH148" s="93">
        <f t="shared" si="17"/>
        <v>0</v>
      </c>
      <c r="AI148" s="93">
        <f t="shared" si="17"/>
        <v>0</v>
      </c>
      <c r="AJ148" s="93">
        <f t="shared" si="18"/>
        <v>0</v>
      </c>
      <c r="AK148" s="93">
        <f t="shared" si="18"/>
        <v>0</v>
      </c>
      <c r="AL148" s="93">
        <f t="shared" si="18"/>
        <v>0</v>
      </c>
    </row>
    <row r="149" spans="2:38" x14ac:dyDescent="0.2">
      <c r="B149" s="145" t="str">
        <f t="shared" si="19"/>
        <v>Paquete 499Residencial</v>
      </c>
      <c r="C149" s="93">
        <f t="shared" si="21"/>
        <v>6</v>
      </c>
      <c r="D149" s="146" t="str">
        <v>Paquete 499</v>
      </c>
      <c r="F149" s="174" t="str">
        <f>IFERROR(VLOOKUP($D149,'Planes y paquetes'!$C$661:$E$699,2,FALSE),"")</f>
        <v>Residencial</v>
      </c>
      <c r="G149" s="174" t="str">
        <f>IFERROR(VLOOKUP($D149,'Planes y paquetes'!$C$661:$E$699,3,FALSE),"")</f>
        <v>Telefonía fija + Internet fijo</v>
      </c>
      <c r="H149" s="174" t="str">
        <f>IFERROR(VLOOKUP($D149,'Planes y paquetes'!$C$391:$BW$429,13,FALSE),"")</f>
        <v>150 Mbps</v>
      </c>
      <c r="I149" s="202">
        <f>INDEX(vector.implicit.prices.broadband.after.discount,MATCH('Cálculos auxiliares'!D149,vector.plans.names,0))</f>
        <v>208.62453851392522</v>
      </c>
      <c r="J149" s="202">
        <f t="shared" si="15"/>
        <v>208.62453851392522</v>
      </c>
      <c r="K149" s="203">
        <f t="shared" si="16"/>
        <v>3.6543111647998755E-2</v>
      </c>
      <c r="M149" s="497">
        <f t="shared" si="20"/>
        <v>150</v>
      </c>
      <c r="Q149" s="93">
        <f t="shared" si="17"/>
        <v>0</v>
      </c>
      <c r="R149" s="93">
        <f t="shared" si="17"/>
        <v>0</v>
      </c>
      <c r="S149" s="93">
        <f t="shared" si="17"/>
        <v>0</v>
      </c>
      <c r="T149" s="93">
        <f t="shared" si="17"/>
        <v>0</v>
      </c>
      <c r="U149" s="93">
        <f t="shared" si="17"/>
        <v>0</v>
      </c>
      <c r="V149" s="93">
        <f t="shared" si="17"/>
        <v>0</v>
      </c>
      <c r="W149" s="93">
        <f t="shared" si="17"/>
        <v>0</v>
      </c>
      <c r="X149" s="93">
        <f t="shared" si="17"/>
        <v>0</v>
      </c>
      <c r="Y149" s="93">
        <f t="shared" si="17"/>
        <v>0</v>
      </c>
      <c r="Z149" s="93">
        <f t="shared" si="17"/>
        <v>0</v>
      </c>
      <c r="AA149" s="93">
        <f t="shared" si="17"/>
        <v>0</v>
      </c>
      <c r="AB149" s="93">
        <f t="shared" si="17"/>
        <v>0</v>
      </c>
      <c r="AC149" s="93">
        <f t="shared" si="17"/>
        <v>0</v>
      </c>
      <c r="AD149" s="93">
        <f t="shared" si="17"/>
        <v>1</v>
      </c>
      <c r="AE149" s="93">
        <f t="shared" si="17"/>
        <v>0</v>
      </c>
      <c r="AF149" s="93">
        <f t="shared" si="17"/>
        <v>0</v>
      </c>
      <c r="AG149" s="93">
        <f t="shared" si="17"/>
        <v>0</v>
      </c>
      <c r="AH149" s="93">
        <f t="shared" si="17"/>
        <v>0</v>
      </c>
      <c r="AI149" s="93">
        <f t="shared" si="17"/>
        <v>0</v>
      </c>
      <c r="AJ149" s="93">
        <f t="shared" si="18"/>
        <v>0</v>
      </c>
      <c r="AK149" s="93">
        <f t="shared" si="18"/>
        <v>0</v>
      </c>
      <c r="AL149" s="93">
        <f t="shared" si="18"/>
        <v>0</v>
      </c>
    </row>
    <row r="150" spans="2:38" x14ac:dyDescent="0.2">
      <c r="B150" s="145" t="str">
        <f t="shared" si="19"/>
        <v>Paquete 599Residencial</v>
      </c>
      <c r="C150" s="93">
        <f t="shared" si="21"/>
        <v>7</v>
      </c>
      <c r="D150" s="146" t="str">
        <v>Paquete 599</v>
      </c>
      <c r="F150" s="174" t="str">
        <f>IFERROR(VLOOKUP($D150,'Planes y paquetes'!$C$661:$E$699,2,FALSE),"")</f>
        <v>Residencial</v>
      </c>
      <c r="G150" s="174" t="str">
        <f>IFERROR(VLOOKUP($D150,'Planes y paquetes'!$C$661:$E$699,3,FALSE),"")</f>
        <v>Telefonía fija + Internet fijo</v>
      </c>
      <c r="H150" s="174" t="str">
        <f>IFERROR(VLOOKUP($D150,'Planes y paquetes'!$C$391:$BW$429,13,FALSE),"")</f>
        <v>250 Mbps</v>
      </c>
      <c r="I150" s="202">
        <f>INDEX(vector.implicit.prices.broadband.after.discount,MATCH('Cálculos auxiliares'!D150,vector.plans.names,0))</f>
        <v>318.26891955040708</v>
      </c>
      <c r="J150" s="202">
        <f t="shared" si="15"/>
        <v>318.26891955040708</v>
      </c>
      <c r="K150" s="203">
        <f t="shared" si="16"/>
        <v>2.8197024162171604E-2</v>
      </c>
      <c r="M150" s="497">
        <f t="shared" si="20"/>
        <v>250</v>
      </c>
      <c r="Q150" s="93">
        <f t="shared" si="17"/>
        <v>0</v>
      </c>
      <c r="R150" s="93">
        <f t="shared" si="17"/>
        <v>0</v>
      </c>
      <c r="S150" s="93">
        <f t="shared" si="17"/>
        <v>0</v>
      </c>
      <c r="T150" s="93">
        <f t="shared" si="17"/>
        <v>0</v>
      </c>
      <c r="U150" s="93">
        <f t="shared" si="17"/>
        <v>0</v>
      </c>
      <c r="V150" s="93">
        <f t="shared" si="17"/>
        <v>0</v>
      </c>
      <c r="W150" s="93">
        <f t="shared" si="17"/>
        <v>0</v>
      </c>
      <c r="X150" s="93">
        <f t="shared" si="17"/>
        <v>0</v>
      </c>
      <c r="Y150" s="93">
        <f t="shared" si="17"/>
        <v>0</v>
      </c>
      <c r="Z150" s="93">
        <f t="shared" si="17"/>
        <v>0</v>
      </c>
      <c r="AA150" s="93">
        <f t="shared" si="17"/>
        <v>0</v>
      </c>
      <c r="AB150" s="93">
        <f t="shared" si="17"/>
        <v>0</v>
      </c>
      <c r="AC150" s="93">
        <f t="shared" si="17"/>
        <v>0</v>
      </c>
      <c r="AD150" s="93">
        <f t="shared" si="17"/>
        <v>0</v>
      </c>
      <c r="AE150" s="93">
        <f t="shared" si="17"/>
        <v>0</v>
      </c>
      <c r="AF150" s="93">
        <f t="shared" si="17"/>
        <v>1</v>
      </c>
      <c r="AG150" s="93">
        <f t="shared" si="17"/>
        <v>0</v>
      </c>
      <c r="AH150" s="93">
        <f t="shared" si="17"/>
        <v>0</v>
      </c>
      <c r="AI150" s="93">
        <f t="shared" si="17"/>
        <v>0</v>
      </c>
      <c r="AJ150" s="93">
        <f t="shared" si="18"/>
        <v>0</v>
      </c>
      <c r="AK150" s="93">
        <f t="shared" si="18"/>
        <v>0</v>
      </c>
      <c r="AL150" s="93">
        <f t="shared" si="18"/>
        <v>0</v>
      </c>
    </row>
    <row r="151" spans="2:38" x14ac:dyDescent="0.2">
      <c r="B151" s="145" t="str">
        <f t="shared" si="19"/>
        <v>Paquete 649Residencial</v>
      </c>
      <c r="C151" s="93">
        <f t="shared" si="21"/>
        <v>8</v>
      </c>
      <c r="D151" s="146" t="str">
        <v>Paquete 649</v>
      </c>
      <c r="F151" s="174" t="str">
        <f>IFERROR(VLOOKUP($D151,'Planes y paquetes'!$C$661:$E$699,2,FALSE),"")</f>
        <v>Residencial</v>
      </c>
      <c r="G151" s="174" t="str">
        <f>IFERROR(VLOOKUP($D151,'Planes y paquetes'!$C$661:$E$699,3,FALSE),"")</f>
        <v>Telefonía fija + Internet fijo</v>
      </c>
      <c r="H151" s="174" t="str">
        <f>IFERROR(VLOOKUP($D151,'Planes y paquetes'!$C$391:$BW$429,13,FALSE),"")</f>
        <v>350 Mbps</v>
      </c>
      <c r="I151" s="202">
        <f>INDEX(vector.implicit.prices.broadband.after.discount,MATCH('Cálculos auxiliares'!D151,vector.plans.names,0))</f>
        <v>345.21330867073146</v>
      </c>
      <c r="J151" s="202">
        <f>IF(G151="Internet fijo",I151-VLOOKUP(H151,weighted.average.local.loop.by.plan.by.tx.media,5,FALSE),I151)</f>
        <v>345.21330867073146</v>
      </c>
      <c r="K151" s="203">
        <f t="shared" si="16"/>
        <v>2.1652042189314661E-2</v>
      </c>
      <c r="M151" s="497">
        <f t="shared" si="20"/>
        <v>350</v>
      </c>
      <c r="Q151" s="93">
        <f t="shared" si="17"/>
        <v>0</v>
      </c>
      <c r="R151" s="93">
        <f t="shared" si="17"/>
        <v>0</v>
      </c>
      <c r="S151" s="93">
        <f t="shared" si="17"/>
        <v>0</v>
      </c>
      <c r="T151" s="93">
        <f t="shared" si="17"/>
        <v>0</v>
      </c>
      <c r="U151" s="93">
        <f t="shared" si="17"/>
        <v>0</v>
      </c>
      <c r="V151" s="93">
        <f t="shared" si="17"/>
        <v>0</v>
      </c>
      <c r="W151" s="93">
        <f t="shared" si="17"/>
        <v>0</v>
      </c>
      <c r="X151" s="93">
        <f t="shared" si="17"/>
        <v>0</v>
      </c>
      <c r="Y151" s="93">
        <f t="shared" si="17"/>
        <v>0</v>
      </c>
      <c r="Z151" s="93">
        <f t="shared" si="17"/>
        <v>0</v>
      </c>
      <c r="AA151" s="93">
        <f t="shared" si="17"/>
        <v>0</v>
      </c>
      <c r="AB151" s="93">
        <f t="shared" si="17"/>
        <v>0</v>
      </c>
      <c r="AC151" s="93">
        <f t="shared" si="17"/>
        <v>0</v>
      </c>
      <c r="AD151" s="93">
        <f t="shared" si="17"/>
        <v>0</v>
      </c>
      <c r="AE151" s="93">
        <f t="shared" si="17"/>
        <v>0</v>
      </c>
      <c r="AF151" s="93">
        <f t="shared" si="17"/>
        <v>0</v>
      </c>
      <c r="AG151" s="93">
        <f t="shared" si="17"/>
        <v>0</v>
      </c>
      <c r="AH151" s="93">
        <f t="shared" si="17"/>
        <v>1</v>
      </c>
      <c r="AI151" s="93">
        <f t="shared" ref="AI151:AI182" si="22">IF(AI$143=$M151,1,0)</f>
        <v>0</v>
      </c>
      <c r="AJ151" s="93">
        <f t="shared" si="18"/>
        <v>0</v>
      </c>
      <c r="AK151" s="93">
        <f t="shared" si="18"/>
        <v>0</v>
      </c>
      <c r="AL151" s="93">
        <f t="shared" si="18"/>
        <v>0</v>
      </c>
    </row>
    <row r="152" spans="2:38" x14ac:dyDescent="0.2">
      <c r="B152" s="145" t="str">
        <f t="shared" si="19"/>
        <v>Paquetre 725Residencial</v>
      </c>
      <c r="C152" s="93">
        <f t="shared" si="21"/>
        <v>9</v>
      </c>
      <c r="D152" s="146" t="str">
        <v>Paquetre 725</v>
      </c>
      <c r="F152" s="174" t="str">
        <f>IFERROR(VLOOKUP($D152,'Planes y paquetes'!$C$661:$E$699,2,FALSE),"")</f>
        <v>Residencial</v>
      </c>
      <c r="G152" s="174" t="str">
        <f>IFERROR(VLOOKUP($D152,'Planes y paquetes'!$C$661:$E$699,3,FALSE),"")</f>
        <v>Telefonía fija + Internet fijo</v>
      </c>
      <c r="H152" s="174" t="str">
        <f>IFERROR(VLOOKUP($D152,'Planes y paquetes'!$C$391:$BW$429,13,FALSE),"")</f>
        <v>500 Mbps</v>
      </c>
      <c r="I152" s="202">
        <f>INDEX(vector.implicit.prices.broadband.after.discount,MATCH('Cálculos auxiliares'!D152,vector.plans.names,0))</f>
        <v>464.0402812744162</v>
      </c>
      <c r="J152" s="202">
        <f t="shared" si="15"/>
        <v>464.0402812744162</v>
      </c>
      <c r="K152" s="203">
        <f t="shared" si="16"/>
        <v>2.1632901679076509E-3</v>
      </c>
      <c r="M152" s="497">
        <f t="shared" si="20"/>
        <v>500</v>
      </c>
      <c r="Q152" s="93">
        <f t="shared" si="17"/>
        <v>0</v>
      </c>
      <c r="R152" s="93">
        <f t="shared" si="17"/>
        <v>0</v>
      </c>
      <c r="S152" s="93">
        <f t="shared" si="17"/>
        <v>0</v>
      </c>
      <c r="T152" s="93">
        <f t="shared" si="17"/>
        <v>0</v>
      </c>
      <c r="U152" s="93">
        <f t="shared" si="17"/>
        <v>0</v>
      </c>
      <c r="V152" s="93">
        <f t="shared" si="17"/>
        <v>0</v>
      </c>
      <c r="W152" s="93">
        <f t="shared" si="17"/>
        <v>0</v>
      </c>
      <c r="X152" s="93">
        <f t="shared" si="17"/>
        <v>0</v>
      </c>
      <c r="Y152" s="93">
        <f t="shared" si="17"/>
        <v>0</v>
      </c>
      <c r="Z152" s="93">
        <f t="shared" si="17"/>
        <v>0</v>
      </c>
      <c r="AA152" s="93">
        <f t="shared" si="17"/>
        <v>0</v>
      </c>
      <c r="AB152" s="93">
        <f t="shared" si="17"/>
        <v>0</v>
      </c>
      <c r="AC152" s="93">
        <f t="shared" si="17"/>
        <v>0</v>
      </c>
      <c r="AD152" s="93">
        <f t="shared" si="17"/>
        <v>0</v>
      </c>
      <c r="AE152" s="93">
        <f t="shared" si="17"/>
        <v>0</v>
      </c>
      <c r="AF152" s="93">
        <f t="shared" si="17"/>
        <v>0</v>
      </c>
      <c r="AG152" s="93">
        <f t="shared" si="17"/>
        <v>0</v>
      </c>
      <c r="AH152" s="93">
        <f t="shared" si="17"/>
        <v>0</v>
      </c>
      <c r="AI152" s="93">
        <f t="shared" si="22"/>
        <v>0</v>
      </c>
      <c r="AJ152" s="93">
        <f t="shared" si="18"/>
        <v>1</v>
      </c>
      <c r="AK152" s="93">
        <f t="shared" si="18"/>
        <v>0</v>
      </c>
      <c r="AL152" s="93">
        <f t="shared" si="18"/>
        <v>0</v>
      </c>
    </row>
    <row r="153" spans="2:38" x14ac:dyDescent="0.2">
      <c r="B153" s="145" t="str">
        <f t="shared" si="19"/>
        <v>Paquete Infinitum 999Residencial</v>
      </c>
      <c r="C153" s="93">
        <f t="shared" si="21"/>
        <v>10</v>
      </c>
      <c r="D153" s="146" t="str">
        <v>Paquete Infinitum 999</v>
      </c>
      <c r="F153" s="174" t="str">
        <f>IFERROR(VLOOKUP($D153,'Planes y paquetes'!$C$661:$E$699,2,FALSE),"")</f>
        <v>Residencial</v>
      </c>
      <c r="G153" s="174" t="str">
        <f>IFERROR(VLOOKUP($D153,'Planes y paquetes'!$C$661:$E$699,3,FALSE),"")</f>
        <v>Telefonía fija + Internet fijo</v>
      </c>
      <c r="H153" s="174" t="str">
        <f>IFERROR(VLOOKUP($D153,'Planes y paquetes'!$C$391:$BW$429,13,FALSE),"")</f>
        <v>750 Mbps</v>
      </c>
      <c r="I153" s="202">
        <f>INDEX(vector.implicit.prices.broadband.after.discount,MATCH('Cálculos auxiliares'!D153,vector.plans.names,0))</f>
        <v>457.04813060246909</v>
      </c>
      <c r="J153" s="202">
        <f t="shared" si="15"/>
        <v>457.04813060246909</v>
      </c>
      <c r="K153" s="203">
        <f t="shared" si="16"/>
        <v>5.2263493214070355E-3</v>
      </c>
      <c r="M153" s="497">
        <f t="shared" si="20"/>
        <v>750</v>
      </c>
      <c r="Q153" s="93">
        <f t="shared" si="17"/>
        <v>0</v>
      </c>
      <c r="R153" s="93">
        <f t="shared" si="17"/>
        <v>0</v>
      </c>
      <c r="S153" s="93">
        <f t="shared" si="17"/>
        <v>0</v>
      </c>
      <c r="T153" s="93">
        <f t="shared" si="17"/>
        <v>0</v>
      </c>
      <c r="U153" s="93">
        <f t="shared" si="17"/>
        <v>0</v>
      </c>
      <c r="V153" s="93">
        <f t="shared" si="17"/>
        <v>0</v>
      </c>
      <c r="W153" s="93">
        <f t="shared" si="17"/>
        <v>0</v>
      </c>
      <c r="X153" s="93">
        <f t="shared" si="17"/>
        <v>0</v>
      </c>
      <c r="Y153" s="93">
        <f t="shared" si="17"/>
        <v>0</v>
      </c>
      <c r="Z153" s="93">
        <f t="shared" si="17"/>
        <v>0</v>
      </c>
      <c r="AA153" s="93">
        <f t="shared" si="17"/>
        <v>0</v>
      </c>
      <c r="AB153" s="93">
        <f t="shared" si="17"/>
        <v>0</v>
      </c>
      <c r="AC153" s="93">
        <f t="shared" si="17"/>
        <v>0</v>
      </c>
      <c r="AD153" s="93">
        <f t="shared" si="17"/>
        <v>0</v>
      </c>
      <c r="AE153" s="93">
        <f t="shared" si="17"/>
        <v>0</v>
      </c>
      <c r="AF153" s="93">
        <f t="shared" si="17"/>
        <v>0</v>
      </c>
      <c r="AG153" s="93">
        <f t="shared" si="17"/>
        <v>0</v>
      </c>
      <c r="AH153" s="93">
        <f t="shared" si="17"/>
        <v>0</v>
      </c>
      <c r="AI153" s="93">
        <f t="shared" si="22"/>
        <v>0</v>
      </c>
      <c r="AJ153" s="93">
        <f t="shared" si="18"/>
        <v>0</v>
      </c>
      <c r="AK153" s="93">
        <f t="shared" si="18"/>
        <v>1</v>
      </c>
      <c r="AL153" s="93">
        <f t="shared" si="18"/>
        <v>0</v>
      </c>
    </row>
    <row r="154" spans="2:38" x14ac:dyDescent="0.2">
      <c r="B154" s="145" t="str">
        <f t="shared" si="19"/>
        <v>Paquete 1399Residencial</v>
      </c>
      <c r="C154" s="93">
        <f t="shared" si="21"/>
        <v>11</v>
      </c>
      <c r="D154" s="146" t="str">
        <v>Paquete 1399</v>
      </c>
      <c r="F154" s="174" t="str">
        <f>IFERROR(VLOOKUP($D154,'Planes y paquetes'!$C$661:$E$699,2,FALSE),"")</f>
        <v>Residencial</v>
      </c>
      <c r="G154" s="174" t="str">
        <f>IFERROR(VLOOKUP($D154,'Planes y paquetes'!$C$661:$E$699,3,FALSE),"")</f>
        <v>Telefonía fija + Internet fijo</v>
      </c>
      <c r="H154" s="174" t="str">
        <f>IFERROR(VLOOKUP($D154,'Planes y paquetes'!$C$391:$BW$429,13,FALSE),"")</f>
        <v>1000 Mbps</v>
      </c>
      <c r="I154" s="202">
        <f>INDEX(vector.implicit.prices.broadband.after.discount,MATCH('Cálculos auxiliares'!D154,vector.plans.names,0))</f>
        <v>970.76296099031845</v>
      </c>
      <c r="J154" s="202">
        <f t="shared" si="15"/>
        <v>970.76296099031845</v>
      </c>
      <c r="K154" s="203">
        <f t="shared" si="16"/>
        <v>1.4324856864871875E-3</v>
      </c>
      <c r="M154" s="497">
        <f t="shared" si="20"/>
        <v>1000</v>
      </c>
      <c r="Q154" s="93">
        <f t="shared" si="17"/>
        <v>0</v>
      </c>
      <c r="R154" s="93">
        <f t="shared" si="17"/>
        <v>0</v>
      </c>
      <c r="S154" s="93">
        <f t="shared" si="17"/>
        <v>0</v>
      </c>
      <c r="T154" s="93">
        <f t="shared" si="17"/>
        <v>0</v>
      </c>
      <c r="U154" s="93">
        <f t="shared" si="17"/>
        <v>0</v>
      </c>
      <c r="V154" s="93">
        <f t="shared" si="17"/>
        <v>0</v>
      </c>
      <c r="W154" s="93">
        <f t="shared" si="17"/>
        <v>0</v>
      </c>
      <c r="X154" s="93">
        <f t="shared" si="17"/>
        <v>0</v>
      </c>
      <c r="Y154" s="93">
        <f t="shared" si="17"/>
        <v>0</v>
      </c>
      <c r="Z154" s="93">
        <f t="shared" si="17"/>
        <v>0</v>
      </c>
      <c r="AA154" s="93">
        <f t="shared" si="17"/>
        <v>0</v>
      </c>
      <c r="AB154" s="93">
        <f t="shared" si="17"/>
        <v>0</v>
      </c>
      <c r="AC154" s="93">
        <f t="shared" si="17"/>
        <v>0</v>
      </c>
      <c r="AD154" s="93">
        <f t="shared" si="17"/>
        <v>0</v>
      </c>
      <c r="AE154" s="93">
        <f t="shared" si="17"/>
        <v>0</v>
      </c>
      <c r="AF154" s="93">
        <f t="shared" si="17"/>
        <v>0</v>
      </c>
      <c r="AG154" s="93">
        <f t="shared" si="17"/>
        <v>0</v>
      </c>
      <c r="AH154" s="93">
        <f t="shared" si="17"/>
        <v>0</v>
      </c>
      <c r="AI154" s="93">
        <f t="shared" si="22"/>
        <v>0</v>
      </c>
      <c r="AJ154" s="93">
        <f t="shared" si="18"/>
        <v>0</v>
      </c>
      <c r="AK154" s="93">
        <f t="shared" si="18"/>
        <v>0</v>
      </c>
      <c r="AL154" s="93">
        <f t="shared" si="18"/>
        <v>1</v>
      </c>
    </row>
    <row r="155" spans="2:38" x14ac:dyDescent="0.2">
      <c r="B155" s="145" t="str">
        <f t="shared" si="19"/>
        <v>Infinitum 279Residencial</v>
      </c>
      <c r="C155" s="93">
        <f t="shared" si="21"/>
        <v>12</v>
      </c>
      <c r="D155" s="146" t="str">
        <v>Infinitum 279</v>
      </c>
      <c r="F155" s="174" t="str">
        <f>IFERROR(VLOOKUP($D155,'Planes y paquetes'!$C$661:$E$699,2,FALSE),"")</f>
        <v>Residencial</v>
      </c>
      <c r="G155" s="174" t="str">
        <f>IFERROR(VLOOKUP($D155,'Planes y paquetes'!$C$661:$E$699,3,FALSE),"")</f>
        <v>Internet fijo</v>
      </c>
      <c r="H155" s="174" t="str">
        <f>IFERROR(VLOOKUP($D155,'Planes y paquetes'!$C$391:$BW$429,13,FALSE),"")</f>
        <v>30 Mbps</v>
      </c>
      <c r="I155" s="202">
        <f>INDEX(vector.implicit.prices.broadband.after.discount,MATCH('Cálculos auxiliares'!D155,vector.plans.names,0))</f>
        <v>237</v>
      </c>
      <c r="J155" s="202">
        <f t="shared" si="15"/>
        <v>134.49333434871278</v>
      </c>
      <c r="K155" s="203">
        <f t="shared" si="16"/>
        <v>1.424070462158345E-3</v>
      </c>
      <c r="M155" s="497">
        <f t="shared" si="20"/>
        <v>30</v>
      </c>
      <c r="Q155" s="93">
        <f t="shared" si="17"/>
        <v>0</v>
      </c>
      <c r="R155" s="93">
        <f t="shared" si="17"/>
        <v>0</v>
      </c>
      <c r="S155" s="93">
        <f t="shared" si="17"/>
        <v>0</v>
      </c>
      <c r="T155" s="93">
        <f t="shared" si="17"/>
        <v>0</v>
      </c>
      <c r="U155" s="93">
        <f t="shared" si="17"/>
        <v>0</v>
      </c>
      <c r="V155" s="93">
        <f t="shared" si="17"/>
        <v>1</v>
      </c>
      <c r="W155" s="93">
        <f t="shared" si="17"/>
        <v>0</v>
      </c>
      <c r="X155" s="93">
        <f t="shared" si="17"/>
        <v>0</v>
      </c>
      <c r="Y155" s="93">
        <f t="shared" si="17"/>
        <v>0</v>
      </c>
      <c r="Z155" s="93">
        <f t="shared" si="17"/>
        <v>0</v>
      </c>
      <c r="AA155" s="93">
        <f t="shared" si="17"/>
        <v>0</v>
      </c>
      <c r="AB155" s="93">
        <f t="shared" si="17"/>
        <v>0</v>
      </c>
      <c r="AC155" s="93">
        <f t="shared" si="17"/>
        <v>0</v>
      </c>
      <c r="AD155" s="93">
        <f t="shared" si="17"/>
        <v>0</v>
      </c>
      <c r="AE155" s="93">
        <f t="shared" si="17"/>
        <v>0</v>
      </c>
      <c r="AF155" s="93">
        <f t="shared" si="17"/>
        <v>0</v>
      </c>
      <c r="AG155" s="93">
        <f t="shared" si="17"/>
        <v>0</v>
      </c>
      <c r="AH155" s="93">
        <f t="shared" si="17"/>
        <v>0</v>
      </c>
      <c r="AI155" s="93">
        <f t="shared" si="22"/>
        <v>0</v>
      </c>
      <c r="AJ155" s="93">
        <f t="shared" si="18"/>
        <v>0</v>
      </c>
      <c r="AK155" s="93">
        <f t="shared" si="18"/>
        <v>0</v>
      </c>
      <c r="AL155" s="93">
        <f t="shared" si="18"/>
        <v>0</v>
      </c>
    </row>
    <row r="156" spans="2:38" x14ac:dyDescent="0.2">
      <c r="B156" s="145" t="str">
        <f t="shared" si="19"/>
        <v>Infinitum 299 RResidencial</v>
      </c>
      <c r="C156" s="93">
        <f t="shared" si="21"/>
        <v>13</v>
      </c>
      <c r="D156" s="146" t="str">
        <v>Infinitum 299 R</v>
      </c>
      <c r="F156" s="174" t="str">
        <f>IFERROR(VLOOKUP($D156,'Planes y paquetes'!$C$661:$E$699,2,FALSE),"")</f>
        <v>Residencial</v>
      </c>
      <c r="G156" s="174" t="str">
        <f>IFERROR(VLOOKUP($D156,'Planes y paquetes'!$C$661:$E$699,3,FALSE),"")</f>
        <v>Internet fijo</v>
      </c>
      <c r="H156" s="174" t="str">
        <f>IFERROR(VLOOKUP($D156,'Planes y paquetes'!$C$391:$BW$429,13,FALSE),"")</f>
        <v>40 Mbps</v>
      </c>
      <c r="I156" s="202">
        <f>INDEX(vector.implicit.prices.broadband.after.discount,MATCH('Cálculos auxiliares'!D156,vector.plans.names,0))</f>
        <v>232</v>
      </c>
      <c r="J156" s="202">
        <f t="shared" si="15"/>
        <v>129.49333434871278</v>
      </c>
      <c r="K156" s="203">
        <f t="shared" si="16"/>
        <v>1.336535628698522E-5</v>
      </c>
      <c r="M156" s="497">
        <f t="shared" si="20"/>
        <v>40</v>
      </c>
      <c r="Q156" s="93">
        <f t="shared" si="17"/>
        <v>0</v>
      </c>
      <c r="R156" s="93">
        <f t="shared" si="17"/>
        <v>0</v>
      </c>
      <c r="S156" s="93">
        <f t="shared" si="17"/>
        <v>0</v>
      </c>
      <c r="T156" s="93">
        <f t="shared" si="17"/>
        <v>0</v>
      </c>
      <c r="U156" s="93">
        <f t="shared" si="17"/>
        <v>0</v>
      </c>
      <c r="V156" s="93">
        <f t="shared" si="17"/>
        <v>0</v>
      </c>
      <c r="W156" s="93">
        <f t="shared" si="17"/>
        <v>1</v>
      </c>
      <c r="X156" s="93">
        <f t="shared" si="17"/>
        <v>0</v>
      </c>
      <c r="Y156" s="93">
        <f t="shared" si="17"/>
        <v>0</v>
      </c>
      <c r="Z156" s="93">
        <f t="shared" si="17"/>
        <v>0</v>
      </c>
      <c r="AA156" s="93">
        <f t="shared" si="17"/>
        <v>0</v>
      </c>
      <c r="AB156" s="93">
        <f t="shared" si="17"/>
        <v>0</v>
      </c>
      <c r="AC156" s="93">
        <f t="shared" si="17"/>
        <v>0</v>
      </c>
      <c r="AD156" s="93">
        <f t="shared" si="17"/>
        <v>0</v>
      </c>
      <c r="AE156" s="93">
        <f t="shared" si="17"/>
        <v>0</v>
      </c>
      <c r="AF156" s="93">
        <f t="shared" si="17"/>
        <v>0</v>
      </c>
      <c r="AG156" s="93">
        <f t="shared" si="17"/>
        <v>0</v>
      </c>
      <c r="AH156" s="93">
        <f t="shared" si="17"/>
        <v>0</v>
      </c>
      <c r="AI156" s="93">
        <f t="shared" si="22"/>
        <v>0</v>
      </c>
      <c r="AJ156" s="93">
        <f t="shared" si="18"/>
        <v>0</v>
      </c>
      <c r="AK156" s="93">
        <f t="shared" si="18"/>
        <v>0</v>
      </c>
      <c r="AL156" s="93">
        <f t="shared" si="18"/>
        <v>0</v>
      </c>
    </row>
    <row r="157" spans="2:38" x14ac:dyDescent="0.2">
      <c r="B157" s="145" t="str">
        <f t="shared" si="19"/>
        <v>Infinitum 349Residencial</v>
      </c>
      <c r="C157" s="93">
        <f t="shared" si="21"/>
        <v>14</v>
      </c>
      <c r="D157" s="146" t="str">
        <v>Infinitum 349</v>
      </c>
      <c r="F157" s="174" t="str">
        <f>IFERROR(VLOOKUP($D157,'Planes y paquetes'!$C$661:$E$699,2,FALSE),"")</f>
        <v>Residencial</v>
      </c>
      <c r="G157" s="174" t="str">
        <f>IFERROR(VLOOKUP($D157,'Planes y paquetes'!$C$661:$E$699,3,FALSE),"")</f>
        <v>Internet fijo</v>
      </c>
      <c r="H157" s="174" t="str">
        <f>IFERROR(VLOOKUP($D157,'Planes y paquetes'!$C$391:$BW$429,13,FALSE),"")</f>
        <v>80 Mbps</v>
      </c>
      <c r="I157" s="202">
        <f>INDEX(vector.implicit.prices.broadband.after.discount,MATCH('Cálculos auxiliares'!D157,vector.plans.names,0))</f>
        <v>228.53754260564546</v>
      </c>
      <c r="J157" s="202">
        <f t="shared" si="15"/>
        <v>126.03087695435822</v>
      </c>
      <c r="K157" s="203">
        <f t="shared" si="16"/>
        <v>0.21545218341657943</v>
      </c>
      <c r="M157" s="497">
        <f t="shared" si="20"/>
        <v>80</v>
      </c>
      <c r="Q157" s="93">
        <f t="shared" si="17"/>
        <v>0</v>
      </c>
      <c r="R157" s="93">
        <f t="shared" si="17"/>
        <v>0</v>
      </c>
      <c r="S157" s="93">
        <f t="shared" si="17"/>
        <v>0</v>
      </c>
      <c r="T157" s="93">
        <f t="shared" si="17"/>
        <v>0</v>
      </c>
      <c r="U157" s="93">
        <f t="shared" si="17"/>
        <v>0</v>
      </c>
      <c r="V157" s="93">
        <f t="shared" si="17"/>
        <v>0</v>
      </c>
      <c r="W157" s="93">
        <f t="shared" si="17"/>
        <v>0</v>
      </c>
      <c r="X157" s="93">
        <f t="shared" si="17"/>
        <v>0</v>
      </c>
      <c r="Y157" s="93">
        <f t="shared" ref="Y157:AF157" si="23">IF(Y$143=$M157,1,0)</f>
        <v>0</v>
      </c>
      <c r="Z157" s="93">
        <f t="shared" si="23"/>
        <v>0</v>
      </c>
      <c r="AA157" s="93">
        <f t="shared" si="23"/>
        <v>1</v>
      </c>
      <c r="AB157" s="93">
        <f t="shared" si="23"/>
        <v>0</v>
      </c>
      <c r="AC157" s="93">
        <f t="shared" si="23"/>
        <v>0</v>
      </c>
      <c r="AD157" s="93">
        <f t="shared" si="23"/>
        <v>0</v>
      </c>
      <c r="AE157" s="93">
        <f t="shared" si="23"/>
        <v>0</v>
      </c>
      <c r="AF157" s="93">
        <f t="shared" si="23"/>
        <v>0</v>
      </c>
      <c r="AG157" s="93">
        <f t="shared" si="17"/>
        <v>0</v>
      </c>
      <c r="AH157" s="93">
        <f t="shared" si="17"/>
        <v>0</v>
      </c>
      <c r="AI157" s="93">
        <f t="shared" si="22"/>
        <v>0</v>
      </c>
      <c r="AJ157" s="93">
        <f t="shared" si="18"/>
        <v>0</v>
      </c>
      <c r="AK157" s="93">
        <f t="shared" si="18"/>
        <v>0</v>
      </c>
      <c r="AL157" s="93">
        <f t="shared" si="18"/>
        <v>0</v>
      </c>
    </row>
    <row r="158" spans="2:38" x14ac:dyDescent="0.2">
      <c r="B158" s="145" t="str">
        <f t="shared" si="19"/>
        <v>Infinitum 399Residencial</v>
      </c>
      <c r="C158" s="93">
        <f t="shared" si="21"/>
        <v>15</v>
      </c>
      <c r="D158" s="146" t="str">
        <v>Infinitum 399</v>
      </c>
      <c r="F158" s="174" t="str">
        <f>IFERROR(VLOOKUP($D158,'Planes y paquetes'!$C$661:$E$699,2,FALSE),"")</f>
        <v>Residencial</v>
      </c>
      <c r="G158" s="174" t="str">
        <f>IFERROR(VLOOKUP($D158,'Planes y paquetes'!$C$661:$E$699,3,FALSE),"")</f>
        <v>Internet fijo</v>
      </c>
      <c r="H158" s="174" t="str">
        <f>IFERROR(VLOOKUP($D158,'Planes y paquetes'!$C$391:$BW$429,13,FALSE),"")</f>
        <v>100 Mbps</v>
      </c>
      <c r="I158" s="202">
        <f>INDEX(vector.implicit.prices.broadband.after.discount,MATCH('Cálculos auxiliares'!D158,vector.plans.names,0))</f>
        <v>406.11288261544814</v>
      </c>
      <c r="J158" s="202">
        <f t="shared" si="15"/>
        <v>303.60621696416092</v>
      </c>
      <c r="K158" s="203">
        <f t="shared" si="16"/>
        <v>1.9516802769169818E-2</v>
      </c>
      <c r="M158" s="497">
        <f t="shared" si="20"/>
        <v>100</v>
      </c>
      <c r="Q158" s="93">
        <f t="shared" ref="Q158:AF173" si="24">IF(Q$143=$M158,1,0)</f>
        <v>0</v>
      </c>
      <c r="R158" s="93">
        <f t="shared" si="24"/>
        <v>0</v>
      </c>
      <c r="S158" s="93">
        <f t="shared" si="24"/>
        <v>0</v>
      </c>
      <c r="T158" s="93">
        <f t="shared" si="24"/>
        <v>0</v>
      </c>
      <c r="U158" s="93">
        <f t="shared" si="24"/>
        <v>0</v>
      </c>
      <c r="V158" s="93">
        <f t="shared" si="24"/>
        <v>0</v>
      </c>
      <c r="W158" s="93">
        <f t="shared" si="24"/>
        <v>0</v>
      </c>
      <c r="X158" s="93">
        <f t="shared" si="24"/>
        <v>0</v>
      </c>
      <c r="Y158" s="93">
        <f t="shared" si="24"/>
        <v>0</v>
      </c>
      <c r="Z158" s="93">
        <f t="shared" si="24"/>
        <v>0</v>
      </c>
      <c r="AA158" s="93">
        <f t="shared" si="24"/>
        <v>0</v>
      </c>
      <c r="AB158" s="93">
        <f t="shared" ref="AB158:AF159" si="25">IF(AB$143=$M158,1,0)</f>
        <v>1</v>
      </c>
      <c r="AC158" s="93">
        <f t="shared" si="25"/>
        <v>0</v>
      </c>
      <c r="AD158" s="93">
        <f t="shared" si="25"/>
        <v>0</v>
      </c>
      <c r="AE158" s="93">
        <f t="shared" si="25"/>
        <v>0</v>
      </c>
      <c r="AF158" s="93">
        <f t="shared" si="25"/>
        <v>0</v>
      </c>
      <c r="AG158" s="93">
        <f t="shared" si="17"/>
        <v>0</v>
      </c>
      <c r="AH158" s="93">
        <f t="shared" si="17"/>
        <v>0</v>
      </c>
      <c r="AI158" s="93">
        <f t="shared" si="22"/>
        <v>0</v>
      </c>
      <c r="AJ158" s="93">
        <f t="shared" si="18"/>
        <v>0</v>
      </c>
      <c r="AK158" s="93">
        <f t="shared" si="18"/>
        <v>0</v>
      </c>
      <c r="AL158" s="93">
        <f t="shared" si="18"/>
        <v>0</v>
      </c>
    </row>
    <row r="159" spans="2:38" x14ac:dyDescent="0.2">
      <c r="B159" s="145" t="str">
        <f t="shared" si="19"/>
        <v>Infinitum 449Residencial</v>
      </c>
      <c r="C159" s="93">
        <f t="shared" si="21"/>
        <v>16</v>
      </c>
      <c r="D159" s="146" t="str">
        <v>Infinitum 449</v>
      </c>
      <c r="F159" s="174" t="str">
        <f>IFERROR(VLOOKUP($D159,'Planes y paquetes'!$C$661:$E$699,2,FALSE),"")</f>
        <v>Residencial</v>
      </c>
      <c r="G159" s="174" t="str">
        <f>IFERROR(VLOOKUP($D159,'Planes y paquetes'!$C$661:$E$699,3,FALSE),"")</f>
        <v>Internet fijo</v>
      </c>
      <c r="H159" s="174" t="str">
        <f>IFERROR(VLOOKUP($D159,'Planes y paquetes'!$C$391:$BW$429,13,FALSE),"")</f>
        <v>150 Mbps</v>
      </c>
      <c r="I159" s="202">
        <f>INDEX(vector.implicit.prices.broadband.after.discount,MATCH('Cálculos auxiliares'!D159,vector.plans.names,0))</f>
        <v>336.23094018293682</v>
      </c>
      <c r="J159" s="202">
        <f t="shared" si="15"/>
        <v>233.7242745316496</v>
      </c>
      <c r="K159" s="203">
        <f t="shared" si="16"/>
        <v>1.7890849425318555E-2</v>
      </c>
      <c r="M159" s="497">
        <f t="shared" si="20"/>
        <v>150</v>
      </c>
      <c r="Q159" s="93">
        <f t="shared" si="24"/>
        <v>0</v>
      </c>
      <c r="R159" s="93">
        <f t="shared" si="24"/>
        <v>0</v>
      </c>
      <c r="S159" s="93">
        <f t="shared" si="24"/>
        <v>0</v>
      </c>
      <c r="T159" s="93">
        <f t="shared" si="24"/>
        <v>0</v>
      </c>
      <c r="U159" s="93">
        <f t="shared" si="24"/>
        <v>0</v>
      </c>
      <c r="V159" s="93">
        <f t="shared" si="24"/>
        <v>0</v>
      </c>
      <c r="W159" s="93">
        <f t="shared" si="24"/>
        <v>0</v>
      </c>
      <c r="X159" s="93">
        <f t="shared" si="24"/>
        <v>0</v>
      </c>
      <c r="Y159" s="93">
        <f t="shared" si="24"/>
        <v>0</v>
      </c>
      <c r="Z159" s="93">
        <f t="shared" si="24"/>
        <v>0</v>
      </c>
      <c r="AA159" s="93">
        <f t="shared" si="24"/>
        <v>0</v>
      </c>
      <c r="AB159" s="93">
        <f t="shared" si="25"/>
        <v>0</v>
      </c>
      <c r="AC159" s="93">
        <f t="shared" si="25"/>
        <v>0</v>
      </c>
      <c r="AD159" s="93">
        <f t="shared" si="25"/>
        <v>1</v>
      </c>
      <c r="AE159" s="93">
        <f t="shared" si="25"/>
        <v>0</v>
      </c>
      <c r="AF159" s="93">
        <f t="shared" si="25"/>
        <v>0</v>
      </c>
      <c r="AG159" s="93">
        <f t="shared" si="17"/>
        <v>0</v>
      </c>
      <c r="AH159" s="93">
        <f t="shared" si="17"/>
        <v>0</v>
      </c>
      <c r="AI159" s="93">
        <f t="shared" si="22"/>
        <v>0</v>
      </c>
      <c r="AJ159" s="93">
        <f t="shared" si="18"/>
        <v>0</v>
      </c>
      <c r="AK159" s="93">
        <f t="shared" si="18"/>
        <v>0</v>
      </c>
      <c r="AL159" s="93">
        <f t="shared" si="18"/>
        <v>0</v>
      </c>
    </row>
    <row r="160" spans="2:38" x14ac:dyDescent="0.2">
      <c r="B160" s="145" t="str">
        <f t="shared" si="19"/>
        <v>Infinitum 499Residencial</v>
      </c>
      <c r="C160" s="93">
        <f t="shared" si="21"/>
        <v>17</v>
      </c>
      <c r="D160" s="146" t="str">
        <v>Infinitum 499</v>
      </c>
      <c r="F160" s="174" t="str">
        <f>IFERROR(VLOOKUP($D160,'Planes y paquetes'!$C$661:$E$699,2,FALSE),"")</f>
        <v>Residencial</v>
      </c>
      <c r="G160" s="174" t="str">
        <f>IFERROR(VLOOKUP($D160,'Planes y paquetes'!$C$661:$E$699,3,FALSE),"")</f>
        <v>Internet fijo</v>
      </c>
      <c r="H160" s="174" t="str">
        <f>IFERROR(VLOOKUP($D160,'Planes y paquetes'!$C$391:$BW$429,13,FALSE),"")</f>
        <v>250 Mbps</v>
      </c>
      <c r="I160" s="202">
        <f>INDEX(vector.implicit.prices.broadband.after.discount,MATCH('Cálculos auxiliares'!D160,vector.plans.names,0))</f>
        <v>516.98733978632958</v>
      </c>
      <c r="J160" s="202">
        <f t="shared" si="15"/>
        <v>414.48067413504236</v>
      </c>
      <c r="K160" s="203">
        <f t="shared" si="16"/>
        <v>2.0563673176117693E-3</v>
      </c>
      <c r="M160" s="497">
        <f t="shared" si="20"/>
        <v>250</v>
      </c>
      <c r="Q160" s="93">
        <f t="shared" si="24"/>
        <v>0</v>
      </c>
      <c r="R160" s="93">
        <f t="shared" si="24"/>
        <v>0</v>
      </c>
      <c r="S160" s="93">
        <f t="shared" si="24"/>
        <v>0</v>
      </c>
      <c r="T160" s="93">
        <f t="shared" si="24"/>
        <v>0</v>
      </c>
      <c r="U160" s="93">
        <f t="shared" si="24"/>
        <v>0</v>
      </c>
      <c r="V160" s="93">
        <f t="shared" si="24"/>
        <v>0</v>
      </c>
      <c r="W160" s="93">
        <f t="shared" si="24"/>
        <v>0</v>
      </c>
      <c r="X160" s="93">
        <f t="shared" si="24"/>
        <v>0</v>
      </c>
      <c r="Y160" s="93">
        <f t="shared" si="24"/>
        <v>0</v>
      </c>
      <c r="Z160" s="93">
        <f t="shared" si="24"/>
        <v>0</v>
      </c>
      <c r="AA160" s="93">
        <f t="shared" si="24"/>
        <v>0</v>
      </c>
      <c r="AB160" s="93">
        <f t="shared" si="24"/>
        <v>0</v>
      </c>
      <c r="AC160" s="93">
        <f t="shared" si="24"/>
        <v>0</v>
      </c>
      <c r="AD160" s="93">
        <f t="shared" si="24"/>
        <v>0</v>
      </c>
      <c r="AE160" s="93">
        <f t="shared" ref="AE160:AH172" si="26">IF(AE$143=$M160,1,0)</f>
        <v>0</v>
      </c>
      <c r="AF160" s="93">
        <f t="shared" si="26"/>
        <v>1</v>
      </c>
      <c r="AG160" s="93">
        <f t="shared" si="26"/>
        <v>0</v>
      </c>
      <c r="AH160" s="93">
        <f t="shared" si="26"/>
        <v>0</v>
      </c>
      <c r="AI160" s="93">
        <f t="shared" si="22"/>
        <v>0</v>
      </c>
      <c r="AJ160" s="93">
        <f t="shared" si="18"/>
        <v>0</v>
      </c>
      <c r="AK160" s="93">
        <f t="shared" si="18"/>
        <v>0</v>
      </c>
      <c r="AL160" s="93">
        <f t="shared" si="18"/>
        <v>0</v>
      </c>
    </row>
    <row r="161" spans="2:38" x14ac:dyDescent="0.2">
      <c r="B161" s="145" t="str">
        <f t="shared" si="19"/>
        <v>Infinitum 549Residencial</v>
      </c>
      <c r="C161" s="93">
        <f t="shared" si="21"/>
        <v>18</v>
      </c>
      <c r="D161" s="146" t="str">
        <v>Infinitum 549</v>
      </c>
      <c r="F161" s="174" t="str">
        <f>IFERROR(VLOOKUP($D161,'Planes y paquetes'!$C$661:$E$699,2,FALSE),"")</f>
        <v>Residencial</v>
      </c>
      <c r="G161" s="174" t="str">
        <f>IFERROR(VLOOKUP($D161,'Planes y paquetes'!$C$661:$E$699,3,FALSE),"")</f>
        <v>Internet fijo</v>
      </c>
      <c r="H161" s="174" t="str">
        <f>IFERROR(VLOOKUP($D161,'Planes y paquetes'!$C$391:$BW$429,13,FALSE),"")</f>
        <v>350 Mbps</v>
      </c>
      <c r="I161" s="202">
        <f>INDEX(vector.implicit.prices.broadband.after.discount,MATCH('Cálculos auxiliares'!D161,vector.plans.names,0))</f>
        <v>363.18045293053467</v>
      </c>
      <c r="J161" s="202">
        <f t="shared" si="15"/>
        <v>260.67378727924745</v>
      </c>
      <c r="K161" s="203">
        <f t="shared" si="16"/>
        <v>1.8701021022467908E-2</v>
      </c>
      <c r="M161" s="497">
        <f t="shared" si="20"/>
        <v>350</v>
      </c>
      <c r="Q161" s="93">
        <f t="shared" si="24"/>
        <v>0</v>
      </c>
      <c r="R161" s="93">
        <f t="shared" si="24"/>
        <v>0</v>
      </c>
      <c r="S161" s="93">
        <f t="shared" si="24"/>
        <v>0</v>
      </c>
      <c r="T161" s="93">
        <f t="shared" si="24"/>
        <v>0</v>
      </c>
      <c r="U161" s="93">
        <f t="shared" si="24"/>
        <v>0</v>
      </c>
      <c r="V161" s="93">
        <f t="shared" si="24"/>
        <v>0</v>
      </c>
      <c r="W161" s="93">
        <f t="shared" si="24"/>
        <v>0</v>
      </c>
      <c r="X161" s="93">
        <f t="shared" si="24"/>
        <v>0</v>
      </c>
      <c r="Y161" s="93">
        <f t="shared" si="24"/>
        <v>0</v>
      </c>
      <c r="Z161" s="93">
        <f t="shared" si="24"/>
        <v>0</v>
      </c>
      <c r="AA161" s="93">
        <f t="shared" si="24"/>
        <v>0</v>
      </c>
      <c r="AB161" s="93">
        <f t="shared" si="24"/>
        <v>0</v>
      </c>
      <c r="AC161" s="93">
        <f t="shared" si="24"/>
        <v>0</v>
      </c>
      <c r="AD161" s="93">
        <f t="shared" si="24"/>
        <v>0</v>
      </c>
      <c r="AE161" s="93">
        <f t="shared" si="26"/>
        <v>0</v>
      </c>
      <c r="AF161" s="93">
        <f t="shared" si="26"/>
        <v>0</v>
      </c>
      <c r="AG161" s="93">
        <f t="shared" si="26"/>
        <v>0</v>
      </c>
      <c r="AH161" s="93">
        <f t="shared" si="26"/>
        <v>1</v>
      </c>
      <c r="AI161" s="93">
        <f t="shared" si="22"/>
        <v>0</v>
      </c>
      <c r="AJ161" s="93">
        <f t="shared" si="18"/>
        <v>0</v>
      </c>
      <c r="AK161" s="93">
        <f t="shared" si="18"/>
        <v>0</v>
      </c>
      <c r="AL161" s="93">
        <f t="shared" si="18"/>
        <v>0</v>
      </c>
    </row>
    <row r="162" spans="2:38" x14ac:dyDescent="0.2">
      <c r="B162" s="145" t="str">
        <f t="shared" si="19"/>
        <v>Infinitum 649Residencial</v>
      </c>
      <c r="C162" s="93">
        <f t="shared" si="21"/>
        <v>19</v>
      </c>
      <c r="D162" s="146" t="str">
        <v>Infinitum 649</v>
      </c>
      <c r="F162" s="174" t="str">
        <f>IFERROR(VLOOKUP($D162,'Planes y paquetes'!$C$661:$E$699,2,FALSE),"")</f>
        <v>Residencial</v>
      </c>
      <c r="G162" s="174" t="str">
        <f>IFERROR(VLOOKUP($D162,'Planes y paquetes'!$C$661:$E$699,3,FALSE),"")</f>
        <v>Internet fijo</v>
      </c>
      <c r="H162" s="174" t="str">
        <f>IFERROR(VLOOKUP($D162,'Planes y paquetes'!$C$391:$BW$429,13,FALSE),"")</f>
        <v>500 Mbps</v>
      </c>
      <c r="I162" s="202">
        <f>INDEX(vector.implicit.prices.broadband.after.discount,MATCH('Cálculos auxiliares'!D162,vector.plans.names,0))</f>
        <v>389.13794866550774</v>
      </c>
      <c r="J162" s="202">
        <f t="shared" si="15"/>
        <v>286.63128301422051</v>
      </c>
      <c r="K162" s="203">
        <f t="shared" si="16"/>
        <v>1.7727247564101941E-3</v>
      </c>
      <c r="M162" s="497">
        <f t="shared" si="20"/>
        <v>500</v>
      </c>
      <c r="Q162" s="93">
        <f t="shared" si="24"/>
        <v>0</v>
      </c>
      <c r="R162" s="93">
        <f t="shared" si="24"/>
        <v>0</v>
      </c>
      <c r="S162" s="93">
        <f t="shared" si="24"/>
        <v>0</v>
      </c>
      <c r="T162" s="93">
        <f t="shared" si="24"/>
        <v>0</v>
      </c>
      <c r="U162" s="93">
        <f t="shared" si="24"/>
        <v>0</v>
      </c>
      <c r="V162" s="93">
        <f t="shared" si="24"/>
        <v>0</v>
      </c>
      <c r="W162" s="93">
        <f t="shared" si="24"/>
        <v>0</v>
      </c>
      <c r="X162" s="93">
        <f t="shared" si="24"/>
        <v>0</v>
      </c>
      <c r="Y162" s="93">
        <f t="shared" si="24"/>
        <v>0</v>
      </c>
      <c r="Z162" s="93">
        <f t="shared" si="24"/>
        <v>0</v>
      </c>
      <c r="AA162" s="93">
        <f t="shared" si="24"/>
        <v>0</v>
      </c>
      <c r="AB162" s="93">
        <f t="shared" si="24"/>
        <v>0</v>
      </c>
      <c r="AC162" s="93">
        <f t="shared" si="24"/>
        <v>0</v>
      </c>
      <c r="AD162" s="93">
        <f t="shared" si="24"/>
        <v>0</v>
      </c>
      <c r="AE162" s="93">
        <f t="shared" si="26"/>
        <v>0</v>
      </c>
      <c r="AF162" s="93">
        <f t="shared" si="26"/>
        <v>0</v>
      </c>
      <c r="AG162" s="93">
        <f t="shared" si="26"/>
        <v>0</v>
      </c>
      <c r="AH162" s="93">
        <f t="shared" si="26"/>
        <v>0</v>
      </c>
      <c r="AI162" s="93">
        <f t="shared" si="22"/>
        <v>0</v>
      </c>
      <c r="AJ162" s="93">
        <f t="shared" si="18"/>
        <v>1</v>
      </c>
      <c r="AK162" s="93">
        <f t="shared" si="18"/>
        <v>0</v>
      </c>
      <c r="AL162" s="93">
        <f t="shared" si="18"/>
        <v>0</v>
      </c>
    </row>
    <row r="163" spans="2:38" x14ac:dyDescent="0.2">
      <c r="B163" s="145" t="str">
        <f t="shared" si="19"/>
        <v>Infinitum 899Residencial</v>
      </c>
      <c r="C163" s="93">
        <f t="shared" si="21"/>
        <v>20</v>
      </c>
      <c r="D163" s="146" t="str">
        <v>Infinitum 899</v>
      </c>
      <c r="F163" s="174" t="str">
        <f>IFERROR(VLOOKUP($D163,'Planes y paquetes'!$C$661:$E$699,2,FALSE),"")</f>
        <v>Residencial</v>
      </c>
      <c r="G163" s="174" t="str">
        <f>IFERROR(VLOOKUP($D163,'Planes y paquetes'!$C$661:$E$699,3,FALSE),"")</f>
        <v>Internet fijo</v>
      </c>
      <c r="H163" s="174" t="str">
        <f>IFERROR(VLOOKUP($D163,'Planes y paquetes'!$C$391:$BW$429,13,FALSE),"")</f>
        <v>750 Mbps</v>
      </c>
      <c r="I163" s="202">
        <f>INDEX(vector.implicit.prices.broadband.after.discount,MATCH('Cálculos auxiliares'!D163,vector.plans.names,0))</f>
        <v>655.88721249076593</v>
      </c>
      <c r="J163" s="202">
        <f t="shared" si="15"/>
        <v>553.38054683947871</v>
      </c>
      <c r="K163" s="203">
        <f t="shared" si="16"/>
        <v>1.5461737171258642E-3</v>
      </c>
      <c r="M163" s="497">
        <f t="shared" si="20"/>
        <v>750</v>
      </c>
      <c r="Q163" s="93">
        <f t="shared" si="24"/>
        <v>0</v>
      </c>
      <c r="R163" s="93">
        <f t="shared" si="24"/>
        <v>0</v>
      </c>
      <c r="S163" s="93">
        <f t="shared" si="24"/>
        <v>0</v>
      </c>
      <c r="T163" s="93">
        <f t="shared" si="24"/>
        <v>0</v>
      </c>
      <c r="U163" s="93">
        <f t="shared" si="24"/>
        <v>0</v>
      </c>
      <c r="V163" s="93">
        <f t="shared" si="24"/>
        <v>0</v>
      </c>
      <c r="W163" s="93">
        <f t="shared" si="24"/>
        <v>0</v>
      </c>
      <c r="X163" s="93">
        <f t="shared" si="24"/>
        <v>0</v>
      </c>
      <c r="Y163" s="93">
        <f t="shared" si="24"/>
        <v>0</v>
      </c>
      <c r="Z163" s="93">
        <f t="shared" si="24"/>
        <v>0</v>
      </c>
      <c r="AA163" s="93">
        <f t="shared" si="24"/>
        <v>0</v>
      </c>
      <c r="AB163" s="93">
        <f t="shared" si="24"/>
        <v>0</v>
      </c>
      <c r="AC163" s="93">
        <f t="shared" si="24"/>
        <v>0</v>
      </c>
      <c r="AD163" s="93">
        <f t="shared" si="24"/>
        <v>0</v>
      </c>
      <c r="AE163" s="93">
        <f t="shared" si="26"/>
        <v>0</v>
      </c>
      <c r="AF163" s="93">
        <f t="shared" si="26"/>
        <v>0</v>
      </c>
      <c r="AG163" s="93">
        <f t="shared" si="26"/>
        <v>0</v>
      </c>
      <c r="AH163" s="93">
        <f t="shared" si="26"/>
        <v>0</v>
      </c>
      <c r="AI163" s="93">
        <f t="shared" si="22"/>
        <v>0</v>
      </c>
      <c r="AJ163" s="93">
        <f t="shared" si="18"/>
        <v>0</v>
      </c>
      <c r="AK163" s="93">
        <f t="shared" si="18"/>
        <v>1</v>
      </c>
      <c r="AL163" s="93">
        <f t="shared" si="18"/>
        <v>0</v>
      </c>
    </row>
    <row r="164" spans="2:38" x14ac:dyDescent="0.2">
      <c r="B164" s="145" t="str">
        <f t="shared" si="19"/>
        <v>Paquete Conectes NegocioNo residencial</v>
      </c>
      <c r="C164" s="93">
        <f t="shared" si="21"/>
        <v>21</v>
      </c>
      <c r="D164" s="146" t="str">
        <v>Paquete Conectes Negocio</v>
      </c>
      <c r="F164" s="174" t="str">
        <f>IFERROR(VLOOKUP($D164,'Planes y paquetes'!$C$661:$E$699,2,FALSE),"")</f>
        <v>No residencial</v>
      </c>
      <c r="G164" s="174" t="str">
        <f>IFERROR(VLOOKUP($D164,'Planes y paquetes'!$C$661:$E$699,3,FALSE),"")</f>
        <v>Telefonía fija + Internet fijo</v>
      </c>
      <c r="H164" s="174" t="str">
        <f>IFERROR(VLOOKUP($D164,'Planes y paquetes'!$C$391:$BW$429,13,FALSE),"")</f>
        <v>80 Mbps</v>
      </c>
      <c r="I164" s="202">
        <f>INDEX(vector.implicit.prices.broadband.after.discount,MATCH('Cálculos auxiliares'!D164,vector.plans.names,0))</f>
        <v>118</v>
      </c>
      <c r="J164" s="202">
        <f t="shared" si="15"/>
        <v>118</v>
      </c>
      <c r="K164" s="203">
        <f t="shared" si="16"/>
        <v>4.5047520854287176E-2</v>
      </c>
      <c r="M164" s="497">
        <f t="shared" si="20"/>
        <v>80</v>
      </c>
      <c r="Q164" s="93">
        <f t="shared" si="24"/>
        <v>0</v>
      </c>
      <c r="R164" s="93">
        <f t="shared" si="24"/>
        <v>0</v>
      </c>
      <c r="S164" s="93">
        <f t="shared" si="24"/>
        <v>0</v>
      </c>
      <c r="T164" s="93">
        <f t="shared" si="24"/>
        <v>0</v>
      </c>
      <c r="U164" s="93">
        <f t="shared" si="24"/>
        <v>0</v>
      </c>
      <c r="V164" s="93">
        <f t="shared" si="24"/>
        <v>0</v>
      </c>
      <c r="W164" s="93">
        <f t="shared" si="24"/>
        <v>0</v>
      </c>
      <c r="X164" s="93">
        <f t="shared" si="24"/>
        <v>0</v>
      </c>
      <c r="Y164" s="93">
        <f t="shared" si="24"/>
        <v>0</v>
      </c>
      <c r="Z164" s="93">
        <f t="shared" si="24"/>
        <v>0</v>
      </c>
      <c r="AA164" s="93">
        <f t="shared" si="24"/>
        <v>1</v>
      </c>
      <c r="AB164" s="93">
        <f t="shared" si="24"/>
        <v>0</v>
      </c>
      <c r="AC164" s="93">
        <f t="shared" si="24"/>
        <v>0</v>
      </c>
      <c r="AD164" s="93">
        <f t="shared" si="24"/>
        <v>0</v>
      </c>
      <c r="AE164" s="93">
        <f t="shared" si="26"/>
        <v>0</v>
      </c>
      <c r="AF164" s="93">
        <f t="shared" si="26"/>
        <v>0</v>
      </c>
      <c r="AG164" s="93">
        <f t="shared" si="26"/>
        <v>0</v>
      </c>
      <c r="AH164" s="93">
        <f t="shared" si="26"/>
        <v>0</v>
      </c>
      <c r="AI164" s="93">
        <f t="shared" si="22"/>
        <v>0</v>
      </c>
      <c r="AJ164" s="93">
        <f t="shared" ref="AJ164:AL179" si="27">IF(AJ$143=$M164,1,0)</f>
        <v>0</v>
      </c>
      <c r="AK164" s="93">
        <f t="shared" si="27"/>
        <v>0</v>
      </c>
      <c r="AL164" s="93">
        <f t="shared" si="27"/>
        <v>0</v>
      </c>
    </row>
    <row r="165" spans="2:38" x14ac:dyDescent="0.2">
      <c r="B165" s="145" t="str">
        <f t="shared" si="19"/>
        <v>Paquete Mi NegocioNo residencial</v>
      </c>
      <c r="C165" s="93">
        <f t="shared" si="21"/>
        <v>22</v>
      </c>
      <c r="D165" s="146" t="str">
        <v>Paquete Mi Negocio</v>
      </c>
      <c r="F165" s="174" t="str">
        <f>IFERROR(VLOOKUP($D165,'Planes y paquetes'!$C$661:$E$699,2,FALSE),"")</f>
        <v>No residencial</v>
      </c>
      <c r="G165" s="174" t="str">
        <f>IFERROR(VLOOKUP($D165,'Planes y paquetes'!$C$661:$E$699,3,FALSE),"")</f>
        <v>Telefonía fija + Internet fijo</v>
      </c>
      <c r="H165" s="174" t="str">
        <f>IFERROR(VLOOKUP($D165,'Planes y paquetes'!$C$391:$BW$429,13,FALSE),"")</f>
        <v>150 Mbps</v>
      </c>
      <c r="I165" s="202">
        <f>INDEX(vector.implicit.prices.broadband.after.discount,MATCH('Cálculos auxiliares'!D165,vector.plans.names,0))</f>
        <v>296</v>
      </c>
      <c r="J165" s="202">
        <f t="shared" si="15"/>
        <v>296</v>
      </c>
      <c r="K165" s="203">
        <f t="shared" si="16"/>
        <v>2.655622042244591E-2</v>
      </c>
      <c r="M165" s="497">
        <f t="shared" si="20"/>
        <v>150</v>
      </c>
      <c r="Q165" s="93">
        <f t="shared" si="24"/>
        <v>0</v>
      </c>
      <c r="R165" s="93">
        <f t="shared" si="24"/>
        <v>0</v>
      </c>
      <c r="S165" s="93">
        <f t="shared" si="24"/>
        <v>0</v>
      </c>
      <c r="T165" s="93">
        <f t="shared" si="24"/>
        <v>0</v>
      </c>
      <c r="U165" s="93">
        <f t="shared" si="24"/>
        <v>0</v>
      </c>
      <c r="V165" s="93">
        <f t="shared" si="24"/>
        <v>0</v>
      </c>
      <c r="W165" s="93">
        <f t="shared" si="24"/>
        <v>0</v>
      </c>
      <c r="X165" s="93">
        <f t="shared" si="24"/>
        <v>0</v>
      </c>
      <c r="Y165" s="93">
        <f t="shared" si="24"/>
        <v>0</v>
      </c>
      <c r="Z165" s="93">
        <f t="shared" si="24"/>
        <v>0</v>
      </c>
      <c r="AA165" s="93">
        <f t="shared" si="24"/>
        <v>0</v>
      </c>
      <c r="AB165" s="93">
        <f t="shared" si="24"/>
        <v>0</v>
      </c>
      <c r="AC165" s="93">
        <f t="shared" si="24"/>
        <v>0</v>
      </c>
      <c r="AD165" s="93">
        <f t="shared" si="24"/>
        <v>1</v>
      </c>
      <c r="AE165" s="93">
        <f t="shared" si="26"/>
        <v>0</v>
      </c>
      <c r="AF165" s="93">
        <f t="shared" si="26"/>
        <v>0</v>
      </c>
      <c r="AG165" s="93">
        <f t="shared" si="26"/>
        <v>0</v>
      </c>
      <c r="AH165" s="93">
        <f t="shared" si="26"/>
        <v>0</v>
      </c>
      <c r="AI165" s="93">
        <f t="shared" si="22"/>
        <v>0</v>
      </c>
      <c r="AJ165" s="93">
        <f t="shared" si="27"/>
        <v>0</v>
      </c>
      <c r="AK165" s="93">
        <f t="shared" si="27"/>
        <v>0</v>
      </c>
      <c r="AL165" s="93">
        <f t="shared" si="27"/>
        <v>0</v>
      </c>
    </row>
    <row r="166" spans="2:38" x14ac:dyDescent="0.2">
      <c r="B166" s="145" t="str">
        <f t="shared" si="19"/>
        <v>Paquete Negocio 649No residencial</v>
      </c>
      <c r="C166" s="93">
        <f t="shared" si="21"/>
        <v>23</v>
      </c>
      <c r="D166" s="146" t="str">
        <v>Paquete Negocio 649</v>
      </c>
      <c r="F166" s="174" t="str">
        <f>IFERROR(VLOOKUP($D166,'Planes y paquetes'!$C$661:$E$699,2,FALSE),"")</f>
        <v>No residencial</v>
      </c>
      <c r="G166" s="174" t="str">
        <f>IFERROR(VLOOKUP($D166,'Planes y paquetes'!$C$661:$E$699,3,FALSE),"")</f>
        <v>Telefonía fija + Internet fijo</v>
      </c>
      <c r="H166" s="174" t="str">
        <f>IFERROR(VLOOKUP($D166,'Planes y paquetes'!$C$391:$BW$429,13,FALSE),"")</f>
        <v>250 Mbps</v>
      </c>
      <c r="I166" s="202">
        <f>INDEX(vector.implicit.prices.broadband.after.discount,MATCH('Cálculos auxiliares'!D166,vector.plans.names,0))</f>
        <v>367</v>
      </c>
      <c r="J166" s="202">
        <f t="shared" si="15"/>
        <v>367</v>
      </c>
      <c r="K166" s="203">
        <f t="shared" si="16"/>
        <v>2.3697106705622005E-3</v>
      </c>
      <c r="M166" s="497">
        <f t="shared" si="20"/>
        <v>250</v>
      </c>
      <c r="Q166" s="93">
        <f t="shared" si="24"/>
        <v>0</v>
      </c>
      <c r="R166" s="93">
        <f t="shared" si="24"/>
        <v>0</v>
      </c>
      <c r="S166" s="93">
        <f t="shared" si="24"/>
        <v>0</v>
      </c>
      <c r="T166" s="93">
        <f t="shared" si="24"/>
        <v>0</v>
      </c>
      <c r="U166" s="93">
        <f t="shared" si="24"/>
        <v>0</v>
      </c>
      <c r="V166" s="93">
        <f t="shared" si="24"/>
        <v>0</v>
      </c>
      <c r="W166" s="93">
        <f t="shared" si="24"/>
        <v>0</v>
      </c>
      <c r="X166" s="93">
        <f t="shared" si="24"/>
        <v>0</v>
      </c>
      <c r="Y166" s="93">
        <f t="shared" si="24"/>
        <v>0</v>
      </c>
      <c r="Z166" s="93">
        <f t="shared" si="24"/>
        <v>0</v>
      </c>
      <c r="AA166" s="93">
        <f t="shared" si="24"/>
        <v>0</v>
      </c>
      <c r="AB166" s="93">
        <f t="shared" si="24"/>
        <v>0</v>
      </c>
      <c r="AC166" s="93">
        <f t="shared" si="24"/>
        <v>0</v>
      </c>
      <c r="AD166" s="93">
        <f t="shared" si="24"/>
        <v>0</v>
      </c>
      <c r="AE166" s="93">
        <f t="shared" si="26"/>
        <v>0</v>
      </c>
      <c r="AF166" s="93">
        <f t="shared" si="26"/>
        <v>1</v>
      </c>
      <c r="AG166" s="93">
        <f t="shared" si="26"/>
        <v>0</v>
      </c>
      <c r="AH166" s="93">
        <f t="shared" si="26"/>
        <v>0</v>
      </c>
      <c r="AI166" s="93">
        <f t="shared" si="22"/>
        <v>0</v>
      </c>
      <c r="AJ166" s="93">
        <f t="shared" si="27"/>
        <v>0</v>
      </c>
      <c r="AK166" s="93">
        <f t="shared" si="27"/>
        <v>0</v>
      </c>
      <c r="AL166" s="93">
        <f t="shared" si="27"/>
        <v>0</v>
      </c>
    </row>
    <row r="167" spans="2:38" x14ac:dyDescent="0.2">
      <c r="B167" s="145" t="str">
        <f t="shared" si="19"/>
        <v>Paquete SupernegocioNo residencial</v>
      </c>
      <c r="C167" s="93">
        <f t="shared" si="21"/>
        <v>24</v>
      </c>
      <c r="D167" s="146" t="str">
        <v>Paquete Supernegocio</v>
      </c>
      <c r="F167" s="174" t="str">
        <f>IFERROR(VLOOKUP($D167,'Planes y paquetes'!$C$661:$E$699,2,FALSE),"")</f>
        <v>No residencial</v>
      </c>
      <c r="G167" s="174" t="str">
        <f>IFERROR(VLOOKUP($D167,'Planes y paquetes'!$C$661:$E$699,3,FALSE),"")</f>
        <v>Telefonía fija + Internet fijo</v>
      </c>
      <c r="H167" s="174" t="str">
        <f>IFERROR(VLOOKUP($D167,'Planes y paquetes'!$C$391:$BW$429,13,FALSE),"")</f>
        <v>350 Mbps</v>
      </c>
      <c r="I167" s="202">
        <f>INDEX(vector.implicit.prices.broadband.after.discount,MATCH('Cálculos auxiliares'!D167,vector.plans.names,0))</f>
        <v>449</v>
      </c>
      <c r="J167" s="202">
        <f t="shared" si="15"/>
        <v>449</v>
      </c>
      <c r="K167" s="203">
        <f t="shared" si="16"/>
        <v>2.0123193934042296E-2</v>
      </c>
      <c r="M167" s="497">
        <f t="shared" si="20"/>
        <v>350</v>
      </c>
      <c r="Q167" s="93">
        <f t="shared" si="24"/>
        <v>0</v>
      </c>
      <c r="R167" s="93">
        <f t="shared" si="24"/>
        <v>0</v>
      </c>
      <c r="S167" s="93">
        <f t="shared" si="24"/>
        <v>0</v>
      </c>
      <c r="T167" s="93">
        <f t="shared" si="24"/>
        <v>0</v>
      </c>
      <c r="U167" s="93">
        <f t="shared" si="24"/>
        <v>0</v>
      </c>
      <c r="V167" s="93">
        <f t="shared" si="24"/>
        <v>0</v>
      </c>
      <c r="W167" s="93">
        <f t="shared" si="24"/>
        <v>0</v>
      </c>
      <c r="X167" s="93">
        <f t="shared" si="24"/>
        <v>0</v>
      </c>
      <c r="Y167" s="93">
        <f t="shared" si="24"/>
        <v>0</v>
      </c>
      <c r="Z167" s="93">
        <f t="shared" si="24"/>
        <v>0</v>
      </c>
      <c r="AA167" s="93">
        <f t="shared" si="24"/>
        <v>0</v>
      </c>
      <c r="AB167" s="93">
        <f t="shared" si="24"/>
        <v>0</v>
      </c>
      <c r="AC167" s="93">
        <f t="shared" si="24"/>
        <v>0</v>
      </c>
      <c r="AD167" s="93">
        <f t="shared" si="24"/>
        <v>0</v>
      </c>
      <c r="AE167" s="93">
        <f t="shared" si="26"/>
        <v>0</v>
      </c>
      <c r="AF167" s="93">
        <f t="shared" si="26"/>
        <v>0</v>
      </c>
      <c r="AG167" s="93">
        <f t="shared" si="26"/>
        <v>0</v>
      </c>
      <c r="AH167" s="93">
        <f t="shared" si="26"/>
        <v>1</v>
      </c>
      <c r="AI167" s="93">
        <f t="shared" si="22"/>
        <v>0</v>
      </c>
      <c r="AJ167" s="93">
        <f t="shared" si="27"/>
        <v>0</v>
      </c>
      <c r="AK167" s="93">
        <f t="shared" si="27"/>
        <v>0</v>
      </c>
      <c r="AL167" s="93">
        <f t="shared" si="27"/>
        <v>0</v>
      </c>
    </row>
    <row r="168" spans="2:38" x14ac:dyDescent="0.2">
      <c r="B168" s="145" t="str">
        <f t="shared" si="19"/>
        <v>Paquete Negocio 999No residencial</v>
      </c>
      <c r="C168" s="93">
        <f t="shared" si="21"/>
        <v>25</v>
      </c>
      <c r="D168" s="146" t="str">
        <v>Paquete Negocio 999</v>
      </c>
      <c r="F168" s="174" t="str">
        <f>IFERROR(VLOOKUP($D168,'Planes y paquetes'!$C$661:$E$699,2,FALSE),"")</f>
        <v>No residencial</v>
      </c>
      <c r="G168" s="174" t="str">
        <f>IFERROR(VLOOKUP($D168,'Planes y paquetes'!$C$661:$E$699,3,FALSE),"")</f>
        <v>Telefonía fija + Internet fijo</v>
      </c>
      <c r="H168" s="174" t="str">
        <f>IFERROR(VLOOKUP($D168,'Planes y paquetes'!$C$391:$BW$429,13,FALSE),"")</f>
        <v>500 Mbps</v>
      </c>
      <c r="I168" s="202">
        <f>INDEX(vector.implicit.prices.broadband.after.discount,MATCH('Cálculos auxiliares'!D168,vector.plans.names,0))</f>
        <v>524</v>
      </c>
      <c r="J168" s="202">
        <f t="shared" si="15"/>
        <v>524</v>
      </c>
      <c r="K168" s="203">
        <f t="shared" si="16"/>
        <v>6.7189791111856565E-4</v>
      </c>
      <c r="M168" s="497">
        <f t="shared" si="20"/>
        <v>500</v>
      </c>
      <c r="Q168" s="93">
        <f t="shared" si="24"/>
        <v>0</v>
      </c>
      <c r="R168" s="93">
        <f t="shared" si="24"/>
        <v>0</v>
      </c>
      <c r="S168" s="93">
        <f t="shared" si="24"/>
        <v>0</v>
      </c>
      <c r="T168" s="93">
        <f t="shared" si="24"/>
        <v>0</v>
      </c>
      <c r="U168" s="93">
        <f t="shared" si="24"/>
        <v>0</v>
      </c>
      <c r="V168" s="93">
        <f t="shared" si="24"/>
        <v>0</v>
      </c>
      <c r="W168" s="93">
        <f t="shared" si="24"/>
        <v>0</v>
      </c>
      <c r="X168" s="93">
        <f t="shared" si="24"/>
        <v>0</v>
      </c>
      <c r="Y168" s="93">
        <f t="shared" si="24"/>
        <v>0</v>
      </c>
      <c r="Z168" s="93">
        <f t="shared" si="24"/>
        <v>0</v>
      </c>
      <c r="AA168" s="93">
        <f t="shared" si="24"/>
        <v>0</v>
      </c>
      <c r="AB168" s="93">
        <f t="shared" si="24"/>
        <v>0</v>
      </c>
      <c r="AC168" s="93">
        <f t="shared" si="24"/>
        <v>0</v>
      </c>
      <c r="AD168" s="93">
        <f t="shared" si="24"/>
        <v>0</v>
      </c>
      <c r="AE168" s="93">
        <f t="shared" si="26"/>
        <v>0</v>
      </c>
      <c r="AF168" s="93">
        <f t="shared" si="26"/>
        <v>0</v>
      </c>
      <c r="AG168" s="93">
        <f t="shared" si="26"/>
        <v>0</v>
      </c>
      <c r="AH168" s="93">
        <f t="shared" si="26"/>
        <v>0</v>
      </c>
      <c r="AI168" s="93">
        <f t="shared" si="22"/>
        <v>0</v>
      </c>
      <c r="AJ168" s="93">
        <f t="shared" si="27"/>
        <v>1</v>
      </c>
      <c r="AK168" s="93">
        <f t="shared" si="27"/>
        <v>0</v>
      </c>
      <c r="AL168" s="93">
        <f t="shared" si="27"/>
        <v>0</v>
      </c>
    </row>
    <row r="169" spans="2:38" x14ac:dyDescent="0.2">
      <c r="B169" s="145" t="str">
        <f t="shared" si="19"/>
        <v>Paquete Telmex Negocio Ilimitado 1No residencial</v>
      </c>
      <c r="C169" s="93">
        <f t="shared" si="21"/>
        <v>26</v>
      </c>
      <c r="D169" s="146" t="str">
        <v>Paquete Telmex Negocio Ilimitado 1</v>
      </c>
      <c r="F169" s="174" t="str">
        <f>IFERROR(VLOOKUP($D169,'Planes y paquetes'!$C$661:$E$699,2,FALSE),"")</f>
        <v>No residencial</v>
      </c>
      <c r="G169" s="174" t="str">
        <f>IFERROR(VLOOKUP($D169,'Planes y paquetes'!$C$661:$E$699,3,FALSE),"")</f>
        <v>Telefonía fija + Internet fijo</v>
      </c>
      <c r="H169" s="174" t="str">
        <f>IFERROR(VLOOKUP($D169,'Planes y paquetes'!$C$391:$BW$429,13,FALSE),"")</f>
        <v>750 Mbps</v>
      </c>
      <c r="I169" s="202">
        <f>INDEX(vector.implicit.prices.broadband.after.discount,MATCH('Cálculos auxiliares'!D169,vector.plans.names,0))</f>
        <v>782</v>
      </c>
      <c r="J169" s="202">
        <f t="shared" si="15"/>
        <v>782</v>
      </c>
      <c r="K169" s="203">
        <f t="shared" si="16"/>
        <v>4.9853603972447895E-3</v>
      </c>
      <c r="M169" s="497">
        <f t="shared" si="20"/>
        <v>750</v>
      </c>
      <c r="Q169" s="93">
        <f t="shared" si="24"/>
        <v>0</v>
      </c>
      <c r="R169" s="93">
        <f t="shared" si="24"/>
        <v>0</v>
      </c>
      <c r="S169" s="93">
        <f t="shared" si="24"/>
        <v>0</v>
      </c>
      <c r="T169" s="93">
        <f t="shared" si="24"/>
        <v>0</v>
      </c>
      <c r="U169" s="93">
        <f t="shared" si="24"/>
        <v>0</v>
      </c>
      <c r="V169" s="93">
        <f t="shared" si="24"/>
        <v>0</v>
      </c>
      <c r="W169" s="93">
        <f t="shared" si="24"/>
        <v>0</v>
      </c>
      <c r="X169" s="93">
        <f t="shared" si="24"/>
        <v>0</v>
      </c>
      <c r="Y169" s="93">
        <f t="shared" si="24"/>
        <v>0</v>
      </c>
      <c r="Z169" s="93">
        <f t="shared" si="24"/>
        <v>0</v>
      </c>
      <c r="AA169" s="93">
        <f t="shared" si="24"/>
        <v>0</v>
      </c>
      <c r="AB169" s="93">
        <f t="shared" si="24"/>
        <v>0</v>
      </c>
      <c r="AC169" s="93">
        <f t="shared" si="24"/>
        <v>0</v>
      </c>
      <c r="AD169" s="93">
        <f t="shared" si="24"/>
        <v>0</v>
      </c>
      <c r="AE169" s="93">
        <f t="shared" si="26"/>
        <v>0</v>
      </c>
      <c r="AF169" s="93">
        <f t="shared" si="26"/>
        <v>0</v>
      </c>
      <c r="AG169" s="93">
        <f t="shared" si="26"/>
        <v>0</v>
      </c>
      <c r="AH169" s="93">
        <f t="shared" si="26"/>
        <v>0</v>
      </c>
      <c r="AI169" s="93">
        <f t="shared" si="22"/>
        <v>0</v>
      </c>
      <c r="AJ169" s="93">
        <f t="shared" si="27"/>
        <v>0</v>
      </c>
      <c r="AK169" s="93">
        <f t="shared" si="27"/>
        <v>1</v>
      </c>
      <c r="AL169" s="93">
        <f t="shared" si="27"/>
        <v>0</v>
      </c>
    </row>
    <row r="170" spans="2:38" x14ac:dyDescent="0.2">
      <c r="B170" s="145" t="str">
        <f t="shared" si="19"/>
        <v>Paquete Telmex Negocio Ilimitado 2No residencial</v>
      </c>
      <c r="C170" s="93">
        <f t="shared" si="21"/>
        <v>27</v>
      </c>
      <c r="D170" s="146" t="str">
        <v>Paquete Telmex Negocio Ilimitado 2</v>
      </c>
      <c r="F170" s="174" t="str">
        <f>IFERROR(VLOOKUP($D170,'Planes y paquetes'!$C$661:$E$699,2,FALSE),"")</f>
        <v>No residencial</v>
      </c>
      <c r="G170" s="174" t="str">
        <f>IFERROR(VLOOKUP($D170,'Planes y paquetes'!$C$661:$E$699,3,FALSE),"")</f>
        <v>Telefonía fija + Internet fijo</v>
      </c>
      <c r="H170" s="174" t="str">
        <f>IFERROR(VLOOKUP($D170,'Planes y paquetes'!$C$391:$BW$429,13,FALSE),"")</f>
        <v>750 Mbps</v>
      </c>
      <c r="I170" s="204">
        <f>INDEX(vector.implicit.prices.broadband.after.discount,MATCH('Cálculos auxiliares'!D170,vector.plans.names,0))</f>
        <v>1205</v>
      </c>
      <c r="J170" s="202">
        <f t="shared" si="15"/>
        <v>1205</v>
      </c>
      <c r="K170" s="203">
        <f t="shared" si="16"/>
        <v>1.503107569090023E-3</v>
      </c>
      <c r="M170" s="497">
        <f t="shared" si="20"/>
        <v>750</v>
      </c>
      <c r="Q170" s="93">
        <f t="shared" si="24"/>
        <v>0</v>
      </c>
      <c r="R170" s="93">
        <f t="shared" si="24"/>
        <v>0</v>
      </c>
      <c r="S170" s="93">
        <f t="shared" si="24"/>
        <v>0</v>
      </c>
      <c r="T170" s="93">
        <f t="shared" si="24"/>
        <v>0</v>
      </c>
      <c r="U170" s="93">
        <f t="shared" si="24"/>
        <v>0</v>
      </c>
      <c r="V170" s="93">
        <f t="shared" si="24"/>
        <v>0</v>
      </c>
      <c r="W170" s="93">
        <f t="shared" si="24"/>
        <v>0</v>
      </c>
      <c r="X170" s="93">
        <f t="shared" si="24"/>
        <v>0</v>
      </c>
      <c r="Y170" s="93">
        <f t="shared" si="24"/>
        <v>0</v>
      </c>
      <c r="Z170" s="93">
        <f t="shared" si="24"/>
        <v>0</v>
      </c>
      <c r="AA170" s="93">
        <f t="shared" si="24"/>
        <v>0</v>
      </c>
      <c r="AB170" s="93">
        <f t="shared" si="24"/>
        <v>0</v>
      </c>
      <c r="AC170" s="93">
        <f t="shared" si="24"/>
        <v>0</v>
      </c>
      <c r="AD170" s="93">
        <f t="shared" si="24"/>
        <v>0</v>
      </c>
      <c r="AE170" s="93">
        <f t="shared" si="26"/>
        <v>0</v>
      </c>
      <c r="AF170" s="93">
        <f t="shared" si="26"/>
        <v>0</v>
      </c>
      <c r="AG170" s="93">
        <f t="shared" si="26"/>
        <v>0</v>
      </c>
      <c r="AH170" s="93">
        <f t="shared" si="26"/>
        <v>0</v>
      </c>
      <c r="AI170" s="93">
        <f t="shared" si="22"/>
        <v>0</v>
      </c>
      <c r="AJ170" s="93">
        <f t="shared" si="27"/>
        <v>0</v>
      </c>
      <c r="AK170" s="93">
        <f t="shared" si="27"/>
        <v>1</v>
      </c>
      <c r="AL170" s="93">
        <f t="shared" si="27"/>
        <v>0</v>
      </c>
    </row>
    <row r="171" spans="2:38" x14ac:dyDescent="0.2">
      <c r="B171" s="145" t="str">
        <f t="shared" si="19"/>
        <v>Paquete Telmex Negocio Ilimitado 3No residencial</v>
      </c>
      <c r="C171" s="93">
        <f t="shared" si="21"/>
        <v>28</v>
      </c>
      <c r="D171" s="146" t="str">
        <v>Paquete Telmex Negocio Ilimitado 3</v>
      </c>
      <c r="F171" s="174" t="str">
        <f>IFERROR(VLOOKUP($D171,'Planes y paquetes'!$C$661:$E$699,2,FALSE),"")</f>
        <v>No residencial</v>
      </c>
      <c r="G171" s="174" t="str">
        <f>IFERROR(VLOOKUP($D171,'Planes y paquetes'!$C$661:$E$699,3,FALSE),"")</f>
        <v>Telefonía fija + Internet fijo</v>
      </c>
      <c r="H171" s="174" t="str">
        <f>IFERROR(VLOOKUP($D171,'Planes y paquetes'!$C$391:$BW$429,13,FALSE),"")</f>
        <v>1000 Mbps</v>
      </c>
      <c r="I171" s="204">
        <f>INDEX(vector.implicit.prices.broadband.after.discount,MATCH('Cálculos auxiliares'!D171,vector.plans.names,0))</f>
        <v>1920</v>
      </c>
      <c r="J171" s="202">
        <f t="shared" si="15"/>
        <v>1920</v>
      </c>
      <c r="K171" s="203">
        <f t="shared" si="16"/>
        <v>1.972957594117065E-3</v>
      </c>
      <c r="M171" s="497">
        <f t="shared" si="20"/>
        <v>1000</v>
      </c>
      <c r="Q171" s="93">
        <f t="shared" si="24"/>
        <v>0</v>
      </c>
      <c r="R171" s="93">
        <f t="shared" si="24"/>
        <v>0</v>
      </c>
      <c r="S171" s="93">
        <f t="shared" si="24"/>
        <v>0</v>
      </c>
      <c r="T171" s="93">
        <f t="shared" si="24"/>
        <v>0</v>
      </c>
      <c r="U171" s="93">
        <f t="shared" si="24"/>
        <v>0</v>
      </c>
      <c r="V171" s="93">
        <f t="shared" si="24"/>
        <v>0</v>
      </c>
      <c r="W171" s="93">
        <f t="shared" si="24"/>
        <v>0</v>
      </c>
      <c r="X171" s="93">
        <f t="shared" si="24"/>
        <v>0</v>
      </c>
      <c r="Y171" s="93">
        <f t="shared" si="24"/>
        <v>0</v>
      </c>
      <c r="Z171" s="93">
        <f t="shared" si="24"/>
        <v>0</v>
      </c>
      <c r="AA171" s="93">
        <f t="shared" si="24"/>
        <v>0</v>
      </c>
      <c r="AB171" s="93">
        <f t="shared" si="24"/>
        <v>0</v>
      </c>
      <c r="AC171" s="93">
        <f t="shared" si="24"/>
        <v>0</v>
      </c>
      <c r="AD171" s="93">
        <f t="shared" si="24"/>
        <v>0</v>
      </c>
      <c r="AE171" s="93">
        <f t="shared" si="26"/>
        <v>0</v>
      </c>
      <c r="AF171" s="93">
        <f t="shared" si="26"/>
        <v>0</v>
      </c>
      <c r="AG171" s="93">
        <f t="shared" si="26"/>
        <v>0</v>
      </c>
      <c r="AH171" s="93">
        <f t="shared" si="26"/>
        <v>0</v>
      </c>
      <c r="AI171" s="93">
        <f t="shared" si="22"/>
        <v>0</v>
      </c>
      <c r="AJ171" s="93">
        <f t="shared" si="27"/>
        <v>0</v>
      </c>
      <c r="AK171" s="93">
        <f t="shared" si="27"/>
        <v>0</v>
      </c>
      <c r="AL171" s="93">
        <f t="shared" si="27"/>
        <v>1</v>
      </c>
    </row>
    <row r="172" spans="2:38" x14ac:dyDescent="0.2">
      <c r="B172" s="145" t="str">
        <f t="shared" si="19"/>
        <v>Infinitum 299 NNo residencial</v>
      </c>
      <c r="C172" s="93">
        <f t="shared" si="21"/>
        <v>29</v>
      </c>
      <c r="D172" s="146" t="str">
        <v>Infinitum 299 N</v>
      </c>
      <c r="F172" s="174" t="str">
        <f>IFERROR(VLOOKUP($D172,'Planes y paquetes'!$C$661:$E$699,2,FALSE),"")</f>
        <v>No residencial</v>
      </c>
      <c r="G172" s="174" t="str">
        <f>IFERROR(VLOOKUP($D172,'Planes y paquetes'!$C$661:$E$699,3,FALSE),"")</f>
        <v>Internet fijo</v>
      </c>
      <c r="H172" s="174" t="str">
        <f>IFERROR(VLOOKUP($D172,'Planes y paquetes'!$C$391:$BW$429,13,FALSE),"")</f>
        <v>40 Mbps</v>
      </c>
      <c r="I172" s="204">
        <f>INDEX(vector.implicit.prices.broadband.after.discount,MATCH('Cálculos auxiliares'!D172,vector.plans.names,0))</f>
        <v>303</v>
      </c>
      <c r="J172" s="202">
        <f t="shared" si="15"/>
        <v>200.49333434871278</v>
      </c>
      <c r="K172" s="203">
        <f t="shared" si="16"/>
        <v>2.8983022614925355E-4</v>
      </c>
      <c r="L172" s="200"/>
      <c r="M172" s="497">
        <f t="shared" si="20"/>
        <v>40</v>
      </c>
      <c r="Q172" s="93">
        <f t="shared" si="24"/>
        <v>0</v>
      </c>
      <c r="R172" s="93">
        <f t="shared" si="24"/>
        <v>0</v>
      </c>
      <c r="S172" s="93">
        <f t="shared" si="24"/>
        <v>0</v>
      </c>
      <c r="T172" s="93">
        <f t="shared" si="24"/>
        <v>0</v>
      </c>
      <c r="U172" s="93">
        <f t="shared" si="24"/>
        <v>0</v>
      </c>
      <c r="V172" s="93">
        <f t="shared" si="24"/>
        <v>0</v>
      </c>
      <c r="W172" s="93">
        <f t="shared" si="24"/>
        <v>1</v>
      </c>
      <c r="X172" s="93">
        <f t="shared" si="24"/>
        <v>0</v>
      </c>
      <c r="Y172" s="93">
        <f t="shared" si="24"/>
        <v>0</v>
      </c>
      <c r="Z172" s="93">
        <f t="shared" si="24"/>
        <v>0</v>
      </c>
      <c r="AA172" s="93">
        <f t="shared" si="24"/>
        <v>0</v>
      </c>
      <c r="AB172" s="93">
        <f t="shared" si="24"/>
        <v>0</v>
      </c>
      <c r="AC172" s="93">
        <f t="shared" si="24"/>
        <v>0</v>
      </c>
      <c r="AD172" s="93">
        <f t="shared" si="24"/>
        <v>0</v>
      </c>
      <c r="AE172" s="93">
        <f t="shared" si="26"/>
        <v>0</v>
      </c>
      <c r="AF172" s="93">
        <f t="shared" si="26"/>
        <v>0</v>
      </c>
      <c r="AG172" s="93">
        <f t="shared" si="26"/>
        <v>0</v>
      </c>
      <c r="AH172" s="93">
        <f t="shared" si="26"/>
        <v>0</v>
      </c>
      <c r="AI172" s="93">
        <f t="shared" si="22"/>
        <v>0</v>
      </c>
      <c r="AJ172" s="93">
        <f t="shared" si="27"/>
        <v>0</v>
      </c>
      <c r="AK172" s="93">
        <f t="shared" si="27"/>
        <v>0</v>
      </c>
      <c r="AL172" s="93">
        <f t="shared" si="27"/>
        <v>0</v>
      </c>
    </row>
    <row r="173" spans="2:38" x14ac:dyDescent="0.2">
      <c r="B173" s="145" t="str">
        <f t="shared" si="19"/>
        <v>Infinitum Negocio 349No residencial</v>
      </c>
      <c r="C173" s="93">
        <f t="shared" si="21"/>
        <v>30</v>
      </c>
      <c r="D173" s="146" t="str">
        <v>Infinitum Negocio 349</v>
      </c>
      <c r="F173" s="174" t="str">
        <f>IFERROR(VLOOKUP($D173,'Planes y paquetes'!$C$661:$E$699,2,FALSE),"")</f>
        <v>No residencial</v>
      </c>
      <c r="G173" s="174" t="str">
        <f>IFERROR(VLOOKUP($D173,'Planes y paquetes'!$C$661:$E$699,3,FALSE),"")</f>
        <v>Internet fijo</v>
      </c>
      <c r="H173" s="174" t="str">
        <f>IFERROR(VLOOKUP($D173,'Planes y paquetes'!$C$391:$BW$429,13,FALSE),"")</f>
        <v>80 Mbps</v>
      </c>
      <c r="I173" s="204">
        <f>INDEX(vector.implicit.prices.broadband.after.discount,MATCH('Cálculos auxiliares'!D173,vector.plans.names,0))</f>
        <v>342</v>
      </c>
      <c r="J173" s="202">
        <f t="shared" si="15"/>
        <v>239.49333434871278</v>
      </c>
      <c r="K173" s="203">
        <f t="shared" si="16"/>
        <v>1.2327726126359214E-2</v>
      </c>
      <c r="M173" s="497">
        <f t="shared" si="20"/>
        <v>80</v>
      </c>
      <c r="Q173" s="93">
        <f t="shared" si="24"/>
        <v>0</v>
      </c>
      <c r="R173" s="93">
        <f t="shared" si="24"/>
        <v>0</v>
      </c>
      <c r="S173" s="93">
        <f t="shared" si="24"/>
        <v>0</v>
      </c>
      <c r="T173" s="93">
        <f t="shared" si="24"/>
        <v>0</v>
      </c>
      <c r="U173" s="93">
        <f t="shared" si="24"/>
        <v>0</v>
      </c>
      <c r="V173" s="93">
        <f t="shared" si="24"/>
        <v>0</v>
      </c>
      <c r="W173" s="93">
        <f t="shared" si="24"/>
        <v>0</v>
      </c>
      <c r="X173" s="93">
        <f t="shared" si="24"/>
        <v>0</v>
      </c>
      <c r="Y173" s="93">
        <f t="shared" si="24"/>
        <v>0</v>
      </c>
      <c r="Z173" s="93">
        <f t="shared" si="24"/>
        <v>0</v>
      </c>
      <c r="AA173" s="93">
        <f t="shared" si="24"/>
        <v>1</v>
      </c>
      <c r="AB173" s="93">
        <f t="shared" si="24"/>
        <v>0</v>
      </c>
      <c r="AC173" s="93">
        <f t="shared" si="24"/>
        <v>0</v>
      </c>
      <c r="AD173" s="93">
        <f t="shared" si="24"/>
        <v>0</v>
      </c>
      <c r="AE173" s="93">
        <f t="shared" si="24"/>
        <v>0</v>
      </c>
      <c r="AF173" s="93">
        <f t="shared" si="24"/>
        <v>0</v>
      </c>
      <c r="AG173" s="93">
        <f t="shared" ref="AG173:AH182" si="28">IF(AG$143=$M173,1,0)</f>
        <v>0</v>
      </c>
      <c r="AH173" s="93">
        <f t="shared" si="28"/>
        <v>0</v>
      </c>
      <c r="AI173" s="93">
        <f t="shared" si="22"/>
        <v>0</v>
      </c>
      <c r="AJ173" s="93">
        <f t="shared" si="27"/>
        <v>0</v>
      </c>
      <c r="AK173" s="93">
        <f t="shared" si="27"/>
        <v>0</v>
      </c>
      <c r="AL173" s="93">
        <f t="shared" si="27"/>
        <v>0</v>
      </c>
    </row>
    <row r="174" spans="2:38" x14ac:dyDescent="0.2">
      <c r="B174" s="145" t="str">
        <f t="shared" si="19"/>
        <v>Infinitum Negocio 399No residencial</v>
      </c>
      <c r="C174" s="93">
        <f t="shared" si="21"/>
        <v>31</v>
      </c>
      <c r="D174" s="146" t="str">
        <v>Infinitum Negocio 399</v>
      </c>
      <c r="F174" s="174" t="str">
        <f>IFERROR(VLOOKUP($D174,'Planes y paquetes'!$C$661:$E$699,2,FALSE),"")</f>
        <v>No residencial</v>
      </c>
      <c r="G174" s="174" t="str">
        <f>IFERROR(VLOOKUP($D174,'Planes y paquetes'!$C$661:$E$699,3,FALSE),"")</f>
        <v>Internet fijo</v>
      </c>
      <c r="H174" s="174" t="str">
        <f>IFERROR(VLOOKUP($D174,'Planes y paquetes'!$C$391:$BW$429,13,FALSE),"")</f>
        <v>100 Mbps</v>
      </c>
      <c r="I174" s="204">
        <f>INDEX(vector.implicit.prices.broadband.after.discount,MATCH('Cálculos auxiliares'!D174,vector.plans.names,0))</f>
        <v>402</v>
      </c>
      <c r="J174" s="202">
        <f t="shared" si="15"/>
        <v>299.49333434871278</v>
      </c>
      <c r="K174" s="203">
        <f t="shared" si="16"/>
        <v>3.0185079658761002E-3</v>
      </c>
      <c r="M174" s="497">
        <f t="shared" si="20"/>
        <v>100</v>
      </c>
      <c r="Q174" s="93">
        <f t="shared" ref="Q174:AD182" si="29">IF(Q$143=$M174,1,0)</f>
        <v>0</v>
      </c>
      <c r="R174" s="93">
        <f t="shared" si="29"/>
        <v>0</v>
      </c>
      <c r="S174" s="93">
        <f t="shared" si="29"/>
        <v>0</v>
      </c>
      <c r="T174" s="93">
        <f t="shared" si="29"/>
        <v>0</v>
      </c>
      <c r="U174" s="93">
        <f t="shared" si="29"/>
        <v>0</v>
      </c>
      <c r="V174" s="93">
        <f t="shared" si="29"/>
        <v>0</v>
      </c>
      <c r="W174" s="93">
        <f t="shared" si="29"/>
        <v>0</v>
      </c>
      <c r="X174" s="93">
        <f t="shared" si="29"/>
        <v>0</v>
      </c>
      <c r="Y174" s="93">
        <f t="shared" si="29"/>
        <v>0</v>
      </c>
      <c r="Z174" s="93">
        <f t="shared" si="29"/>
        <v>0</v>
      </c>
      <c r="AA174" s="93">
        <f t="shared" si="29"/>
        <v>0</v>
      </c>
      <c r="AB174" s="93">
        <f t="shared" si="29"/>
        <v>1</v>
      </c>
      <c r="AC174" s="93">
        <f t="shared" si="29"/>
        <v>0</v>
      </c>
      <c r="AD174" s="93">
        <f t="shared" si="29"/>
        <v>0</v>
      </c>
      <c r="AE174" s="93">
        <f t="shared" ref="AE174:AF182" si="30">IF(AE$143=$M174,1,0)</f>
        <v>0</v>
      </c>
      <c r="AF174" s="93">
        <f t="shared" si="30"/>
        <v>0</v>
      </c>
      <c r="AG174" s="93">
        <f t="shared" si="28"/>
        <v>0</v>
      </c>
      <c r="AH174" s="93">
        <f t="shared" si="28"/>
        <v>0</v>
      </c>
      <c r="AI174" s="93">
        <f t="shared" si="22"/>
        <v>0</v>
      </c>
      <c r="AJ174" s="93">
        <f t="shared" si="27"/>
        <v>0</v>
      </c>
      <c r="AK174" s="93">
        <f t="shared" si="27"/>
        <v>0</v>
      </c>
      <c r="AL174" s="93">
        <f t="shared" si="27"/>
        <v>0</v>
      </c>
    </row>
    <row r="175" spans="2:38" x14ac:dyDescent="0.2">
      <c r="B175" s="145" t="str">
        <f t="shared" si="19"/>
        <v>Infinitum Negocio 449No residencial</v>
      </c>
      <c r="C175" s="93">
        <f t="shared" si="21"/>
        <v>32</v>
      </c>
      <c r="D175" s="146" t="str">
        <v>Infinitum Negocio 449</v>
      </c>
      <c r="F175" s="174" t="str">
        <f>IFERROR(VLOOKUP($D175,'Planes y paquetes'!$C$661:$E$699,2,FALSE),"")</f>
        <v>No residencial</v>
      </c>
      <c r="G175" s="174" t="str">
        <f>IFERROR(VLOOKUP($D175,'Planes y paquetes'!$C$661:$E$699,3,FALSE),"")</f>
        <v>Internet fijo</v>
      </c>
      <c r="H175" s="174" t="str">
        <f>IFERROR(VLOOKUP($D175,'Planes y paquetes'!$C$391:$BW$429,13,FALSE),"")</f>
        <v>150 Mbps</v>
      </c>
      <c r="I175" s="204">
        <f>INDEX(vector.implicit.prices.broadband.after.discount,MATCH('Cálculos auxiliares'!D175,vector.plans.names,0))</f>
        <v>482</v>
      </c>
      <c r="J175" s="202">
        <f t="shared" si="15"/>
        <v>379.49333434871278</v>
      </c>
      <c r="K175" s="203">
        <f t="shared" si="16"/>
        <v>1.2353054301545044E-3</v>
      </c>
      <c r="M175" s="497">
        <f t="shared" si="20"/>
        <v>150</v>
      </c>
      <c r="Q175" s="93">
        <f t="shared" si="29"/>
        <v>0</v>
      </c>
      <c r="R175" s="93">
        <f t="shared" si="29"/>
        <v>0</v>
      </c>
      <c r="S175" s="93">
        <f t="shared" si="29"/>
        <v>0</v>
      </c>
      <c r="T175" s="93">
        <f t="shared" si="29"/>
        <v>0</v>
      </c>
      <c r="U175" s="93">
        <f t="shared" si="29"/>
        <v>0</v>
      </c>
      <c r="V175" s="93">
        <f t="shared" si="29"/>
        <v>0</v>
      </c>
      <c r="W175" s="93">
        <f t="shared" si="29"/>
        <v>0</v>
      </c>
      <c r="X175" s="93">
        <f t="shared" si="29"/>
        <v>0</v>
      </c>
      <c r="Y175" s="93">
        <f t="shared" si="29"/>
        <v>0</v>
      </c>
      <c r="Z175" s="93">
        <f t="shared" si="29"/>
        <v>0</v>
      </c>
      <c r="AA175" s="93">
        <f t="shared" si="29"/>
        <v>0</v>
      </c>
      <c r="AB175" s="93">
        <f t="shared" si="29"/>
        <v>0</v>
      </c>
      <c r="AC175" s="93">
        <f t="shared" si="29"/>
        <v>0</v>
      </c>
      <c r="AD175" s="93">
        <f t="shared" si="29"/>
        <v>1</v>
      </c>
      <c r="AE175" s="93">
        <f t="shared" si="30"/>
        <v>0</v>
      </c>
      <c r="AF175" s="93">
        <f t="shared" si="30"/>
        <v>0</v>
      </c>
      <c r="AG175" s="93">
        <f t="shared" si="28"/>
        <v>0</v>
      </c>
      <c r="AH175" s="93">
        <f t="shared" si="28"/>
        <v>0</v>
      </c>
      <c r="AI175" s="93">
        <f t="shared" si="22"/>
        <v>0</v>
      </c>
      <c r="AJ175" s="93">
        <f t="shared" si="27"/>
        <v>0</v>
      </c>
      <c r="AK175" s="93">
        <f t="shared" si="27"/>
        <v>0</v>
      </c>
      <c r="AL175" s="93">
        <f t="shared" si="27"/>
        <v>0</v>
      </c>
    </row>
    <row r="176" spans="2:38" x14ac:dyDescent="0.2">
      <c r="B176" s="145" t="str">
        <f t="shared" si="19"/>
        <v>Infinitum Negocio 499No residencial</v>
      </c>
      <c r="C176" s="93">
        <f t="shared" si="21"/>
        <v>33</v>
      </c>
      <c r="D176" s="146" t="str">
        <v>Infinitum Negocio 499</v>
      </c>
      <c r="F176" s="174" t="str">
        <f>IFERROR(VLOOKUP($D176,'Planes y paquetes'!$C$661:$E$699,2,FALSE),"")</f>
        <v>No residencial</v>
      </c>
      <c r="G176" s="174" t="str">
        <f>IFERROR(VLOOKUP($D176,'Planes y paquetes'!$C$661:$E$699,3,FALSE),"")</f>
        <v>Internet fijo</v>
      </c>
      <c r="H176" s="174" t="str">
        <f>IFERROR(VLOOKUP($D176,'Planes y paquetes'!$C$391:$BW$429,13,FALSE),"")</f>
        <v>250 Mbps</v>
      </c>
      <c r="I176" s="204">
        <f>INDEX(vector.implicit.prices.broadband.after.discount,MATCH('Cálculos auxiliares'!D176,vector.plans.names,0))</f>
        <v>422</v>
      </c>
      <c r="J176" s="202">
        <f t="shared" si="15"/>
        <v>319.49333434871278</v>
      </c>
      <c r="K176" s="203">
        <f t="shared" ref="K176:K182" si="31">VLOOKUP(B176,AEP.broadband.distribution.by.plan,6+MATCH(Year.selected,Years,0),FALSE)</f>
        <v>5.2174390838823786E-4</v>
      </c>
      <c r="M176" s="497">
        <f t="shared" si="20"/>
        <v>250</v>
      </c>
      <c r="Q176" s="93">
        <f t="shared" si="29"/>
        <v>0</v>
      </c>
      <c r="R176" s="93">
        <f t="shared" si="29"/>
        <v>0</v>
      </c>
      <c r="S176" s="93">
        <f t="shared" si="29"/>
        <v>0</v>
      </c>
      <c r="T176" s="93">
        <f t="shared" si="29"/>
        <v>0</v>
      </c>
      <c r="U176" s="93">
        <f t="shared" si="29"/>
        <v>0</v>
      </c>
      <c r="V176" s="93">
        <f t="shared" si="29"/>
        <v>0</v>
      </c>
      <c r="W176" s="93">
        <f t="shared" si="29"/>
        <v>0</v>
      </c>
      <c r="X176" s="93">
        <f t="shared" si="29"/>
        <v>0</v>
      </c>
      <c r="Y176" s="93">
        <f t="shared" si="29"/>
        <v>0</v>
      </c>
      <c r="Z176" s="93">
        <f t="shared" si="29"/>
        <v>0</v>
      </c>
      <c r="AA176" s="93">
        <f t="shared" si="29"/>
        <v>0</v>
      </c>
      <c r="AB176" s="93">
        <f t="shared" si="29"/>
        <v>0</v>
      </c>
      <c r="AC176" s="93">
        <f t="shared" si="29"/>
        <v>0</v>
      </c>
      <c r="AD176" s="93">
        <f t="shared" si="29"/>
        <v>0</v>
      </c>
      <c r="AE176" s="93">
        <f t="shared" si="30"/>
        <v>0</v>
      </c>
      <c r="AF176" s="93">
        <f t="shared" si="30"/>
        <v>1</v>
      </c>
      <c r="AG176" s="93">
        <f t="shared" si="28"/>
        <v>0</v>
      </c>
      <c r="AH176" s="93">
        <f t="shared" si="28"/>
        <v>0</v>
      </c>
      <c r="AI176" s="93">
        <f t="shared" si="22"/>
        <v>0</v>
      </c>
      <c r="AJ176" s="93">
        <f t="shared" si="27"/>
        <v>0</v>
      </c>
      <c r="AK176" s="93">
        <f t="shared" si="27"/>
        <v>0</v>
      </c>
      <c r="AL176" s="93">
        <f t="shared" si="27"/>
        <v>0</v>
      </c>
    </row>
    <row r="177" spans="2:38" x14ac:dyDescent="0.2">
      <c r="B177" s="145" t="str">
        <f t="shared" si="19"/>
        <v>Infinitum Negocio 549No residencial</v>
      </c>
      <c r="C177" s="93">
        <f t="shared" si="21"/>
        <v>34</v>
      </c>
      <c r="D177" s="146" t="str">
        <v>Infinitum Negocio 549</v>
      </c>
      <c r="F177" s="174" t="str">
        <f>IFERROR(VLOOKUP($D177,'Planes y paquetes'!$C$661:$E$699,2,FALSE),"")</f>
        <v>No residencial</v>
      </c>
      <c r="G177" s="174" t="str">
        <f>IFERROR(VLOOKUP($D177,'Planes y paquetes'!$C$661:$E$699,3,FALSE),"")</f>
        <v>Internet fijo</v>
      </c>
      <c r="H177" s="174" t="str">
        <f>IFERROR(VLOOKUP($D177,'Planes y paquetes'!$C$391:$BW$429,13,FALSE),"")</f>
        <v>350 Mbps</v>
      </c>
      <c r="I177" s="204">
        <f>INDEX(vector.implicit.prices.broadband.after.discount,MATCH('Cálculos auxiliares'!D177,vector.plans.names,0))</f>
        <v>346</v>
      </c>
      <c r="J177" s="202">
        <f t="shared" si="15"/>
        <v>243.49333434871278</v>
      </c>
      <c r="K177" s="203">
        <f t="shared" si="31"/>
        <v>2.3717732255447601E-3</v>
      </c>
      <c r="M177" s="497">
        <f t="shared" si="20"/>
        <v>350</v>
      </c>
      <c r="Q177" s="93">
        <f t="shared" si="29"/>
        <v>0</v>
      </c>
      <c r="R177" s="93">
        <f t="shared" si="29"/>
        <v>0</v>
      </c>
      <c r="S177" s="93">
        <f t="shared" si="29"/>
        <v>0</v>
      </c>
      <c r="T177" s="93">
        <f t="shared" si="29"/>
        <v>0</v>
      </c>
      <c r="U177" s="93">
        <f t="shared" si="29"/>
        <v>0</v>
      </c>
      <c r="V177" s="93">
        <f t="shared" si="29"/>
        <v>0</v>
      </c>
      <c r="W177" s="93">
        <f t="shared" si="29"/>
        <v>0</v>
      </c>
      <c r="X177" s="93">
        <f t="shared" si="29"/>
        <v>0</v>
      </c>
      <c r="Y177" s="93">
        <f t="shared" si="29"/>
        <v>0</v>
      </c>
      <c r="Z177" s="93">
        <f t="shared" si="29"/>
        <v>0</v>
      </c>
      <c r="AA177" s="93">
        <f t="shared" si="29"/>
        <v>0</v>
      </c>
      <c r="AB177" s="93">
        <f t="shared" si="29"/>
        <v>0</v>
      </c>
      <c r="AC177" s="93">
        <f t="shared" si="29"/>
        <v>0</v>
      </c>
      <c r="AD177" s="93">
        <f t="shared" si="29"/>
        <v>0</v>
      </c>
      <c r="AE177" s="93">
        <f t="shared" si="30"/>
        <v>0</v>
      </c>
      <c r="AF177" s="93">
        <f t="shared" si="30"/>
        <v>0</v>
      </c>
      <c r="AG177" s="93">
        <f t="shared" si="28"/>
        <v>0</v>
      </c>
      <c r="AH177" s="93">
        <f t="shared" si="28"/>
        <v>1</v>
      </c>
      <c r="AI177" s="93">
        <f t="shared" si="22"/>
        <v>0</v>
      </c>
      <c r="AJ177" s="93">
        <f t="shared" si="27"/>
        <v>0</v>
      </c>
      <c r="AK177" s="93">
        <f t="shared" si="27"/>
        <v>0</v>
      </c>
      <c r="AL177" s="93">
        <f t="shared" si="27"/>
        <v>0</v>
      </c>
    </row>
    <row r="178" spans="2:38" x14ac:dyDescent="0.2">
      <c r="B178" s="145" t="str">
        <f t="shared" si="19"/>
        <v>Infinitum Negocio 649No residencial</v>
      </c>
      <c r="C178" s="93">
        <f t="shared" si="21"/>
        <v>35</v>
      </c>
      <c r="D178" s="146" t="str">
        <v>Infinitum Negocio 649</v>
      </c>
      <c r="F178" s="174" t="str">
        <f>IFERROR(VLOOKUP($D178,'Planes y paquetes'!$C$661:$E$699,2,FALSE),"")</f>
        <v>No residencial</v>
      </c>
      <c r="G178" s="174" t="str">
        <f>IFERROR(VLOOKUP($D178,'Planes y paquetes'!$C$661:$E$699,3,FALSE),"")</f>
        <v>Internet fijo</v>
      </c>
      <c r="H178" s="174" t="str">
        <f>IFERROR(VLOOKUP($D178,'Planes y paquetes'!$C$391:$BW$429,13,FALSE),"")</f>
        <v>500 Mbps</v>
      </c>
      <c r="I178" s="204">
        <f>INDEX(vector.implicit.prices.broadband.after.discount,MATCH('Cálculos auxiliares'!D178,vector.plans.names,0))</f>
        <v>597</v>
      </c>
      <c r="J178" s="202">
        <f t="shared" si="15"/>
        <v>494.49333434871278</v>
      </c>
      <c r="K178" s="203">
        <f t="shared" si="31"/>
        <v>4.3033147156120317E-4</v>
      </c>
      <c r="M178" s="497">
        <f t="shared" si="20"/>
        <v>500</v>
      </c>
      <c r="Q178" s="93">
        <f t="shared" si="29"/>
        <v>0</v>
      </c>
      <c r="R178" s="93">
        <f t="shared" si="29"/>
        <v>0</v>
      </c>
      <c r="S178" s="93">
        <f t="shared" si="29"/>
        <v>0</v>
      </c>
      <c r="T178" s="93">
        <f t="shared" si="29"/>
        <v>0</v>
      </c>
      <c r="U178" s="93">
        <f t="shared" si="29"/>
        <v>0</v>
      </c>
      <c r="V178" s="93">
        <f t="shared" si="29"/>
        <v>0</v>
      </c>
      <c r="W178" s="93">
        <f t="shared" si="29"/>
        <v>0</v>
      </c>
      <c r="X178" s="93">
        <f t="shared" si="29"/>
        <v>0</v>
      </c>
      <c r="Y178" s="93">
        <f t="shared" si="29"/>
        <v>0</v>
      </c>
      <c r="Z178" s="93">
        <f t="shared" si="29"/>
        <v>0</v>
      </c>
      <c r="AA178" s="93">
        <f t="shared" si="29"/>
        <v>0</v>
      </c>
      <c r="AB178" s="93">
        <f t="shared" si="29"/>
        <v>0</v>
      </c>
      <c r="AC178" s="93">
        <f t="shared" si="29"/>
        <v>0</v>
      </c>
      <c r="AD178" s="93">
        <f t="shared" si="29"/>
        <v>0</v>
      </c>
      <c r="AE178" s="93">
        <f t="shared" si="30"/>
        <v>0</v>
      </c>
      <c r="AF178" s="93">
        <f t="shared" si="30"/>
        <v>0</v>
      </c>
      <c r="AG178" s="93">
        <f t="shared" si="28"/>
        <v>0</v>
      </c>
      <c r="AH178" s="93">
        <f t="shared" si="28"/>
        <v>0</v>
      </c>
      <c r="AI178" s="93">
        <f t="shared" si="22"/>
        <v>0</v>
      </c>
      <c r="AJ178" s="93">
        <f t="shared" si="27"/>
        <v>1</v>
      </c>
      <c r="AK178" s="93">
        <f t="shared" si="27"/>
        <v>0</v>
      </c>
      <c r="AL178" s="93">
        <f t="shared" si="27"/>
        <v>0</v>
      </c>
    </row>
    <row r="179" spans="2:38" x14ac:dyDescent="0.2">
      <c r="B179" s="145" t="str">
        <f t="shared" si="19"/>
        <v>Infinitum Negocio 899No residencial</v>
      </c>
      <c r="C179" s="93">
        <f t="shared" si="21"/>
        <v>36</v>
      </c>
      <c r="D179" s="146" t="str">
        <v>Infinitum Negocio 899</v>
      </c>
      <c r="F179" s="174" t="str">
        <f>IFERROR(VLOOKUP($D179,'Planes y paquetes'!$C$661:$E$699,2,FALSE),"")</f>
        <v>No residencial</v>
      </c>
      <c r="G179" s="174" t="str">
        <f>IFERROR(VLOOKUP($D179,'Planes y paquetes'!$C$661:$E$699,3,FALSE),"")</f>
        <v>Internet fijo</v>
      </c>
      <c r="H179" s="174" t="str">
        <f>IFERROR(VLOOKUP($D179,'Planes y paquetes'!$C$391:$BW$429,13,FALSE),"")</f>
        <v>750 Mbps</v>
      </c>
      <c r="I179" s="204">
        <f>INDEX(vector.implicit.prices.broadband.after.discount,MATCH('Cálculos auxiliares'!D179,vector.plans.names,0))</f>
        <v>875</v>
      </c>
      <c r="J179" s="202">
        <f t="shared" si="15"/>
        <v>772.49333434871278</v>
      </c>
      <c r="K179" s="203">
        <f t="shared" si="31"/>
        <v>5.3989439223476102E-4</v>
      </c>
      <c r="M179" s="497">
        <f t="shared" si="20"/>
        <v>750</v>
      </c>
      <c r="Q179" s="93">
        <f t="shared" si="29"/>
        <v>0</v>
      </c>
      <c r="R179" s="93">
        <f t="shared" si="29"/>
        <v>0</v>
      </c>
      <c r="S179" s="93">
        <f t="shared" si="29"/>
        <v>0</v>
      </c>
      <c r="T179" s="93">
        <f t="shared" si="29"/>
        <v>0</v>
      </c>
      <c r="U179" s="93">
        <f t="shared" si="29"/>
        <v>0</v>
      </c>
      <c r="V179" s="93">
        <f t="shared" si="29"/>
        <v>0</v>
      </c>
      <c r="W179" s="93">
        <f t="shared" si="29"/>
        <v>0</v>
      </c>
      <c r="X179" s="93">
        <f t="shared" si="29"/>
        <v>0</v>
      </c>
      <c r="Y179" s="93">
        <f t="shared" si="29"/>
        <v>0</v>
      </c>
      <c r="Z179" s="93">
        <f t="shared" si="29"/>
        <v>0</v>
      </c>
      <c r="AA179" s="93">
        <f t="shared" si="29"/>
        <v>0</v>
      </c>
      <c r="AB179" s="93">
        <f t="shared" si="29"/>
        <v>0</v>
      </c>
      <c r="AC179" s="93">
        <f t="shared" si="29"/>
        <v>0</v>
      </c>
      <c r="AD179" s="93">
        <f t="shared" si="29"/>
        <v>0</v>
      </c>
      <c r="AE179" s="93">
        <f t="shared" si="30"/>
        <v>0</v>
      </c>
      <c r="AF179" s="93">
        <f t="shared" si="30"/>
        <v>0</v>
      </c>
      <c r="AG179" s="93">
        <f t="shared" si="28"/>
        <v>0</v>
      </c>
      <c r="AH179" s="93">
        <f t="shared" si="28"/>
        <v>0</v>
      </c>
      <c r="AI179" s="93">
        <f t="shared" si="22"/>
        <v>0</v>
      </c>
      <c r="AJ179" s="93">
        <f t="shared" si="27"/>
        <v>0</v>
      </c>
      <c r="AK179" s="93">
        <f t="shared" si="27"/>
        <v>1</v>
      </c>
      <c r="AL179" s="93">
        <f t="shared" si="27"/>
        <v>0</v>
      </c>
    </row>
    <row r="180" spans="2:38" x14ac:dyDescent="0.2">
      <c r="B180" s="145" t="str">
        <f t="shared" si="19"/>
        <v>Infinitum NegocioNo Residencial</v>
      </c>
      <c r="C180" s="93">
        <f t="shared" si="21"/>
        <v>37</v>
      </c>
      <c r="D180" s="146" t="str">
        <v>Infinitum Negocio</v>
      </c>
      <c r="F180" s="174" t="str">
        <f>IFERROR(VLOOKUP($D180,'Planes y paquetes'!$C$661:$E$699,2,FALSE),"")</f>
        <v>No Residencial</v>
      </c>
      <c r="G180" s="174" t="str">
        <f>IFERROR(VLOOKUP($D180,'Planes y paquetes'!$C$661:$E$699,3,FALSE),"")</f>
        <v>Internet fijo</v>
      </c>
      <c r="H180" s="174" t="str">
        <f>IFERROR(VLOOKUP($D180,'Planes y paquetes'!$C$391:$BW$429,13,FALSE),"")</f>
        <v>30 Mbps</v>
      </c>
      <c r="I180" s="204">
        <f>INDEX(vector.implicit.prices.broadband.after.discount,MATCH('Cálculos auxiliares'!D180,vector.plans.names,0))</f>
        <v>324</v>
      </c>
      <c r="J180" s="202">
        <f t="shared" si="15"/>
        <v>221.49333434871278</v>
      </c>
      <c r="K180" s="203">
        <f t="shared" si="31"/>
        <v>2.8449233385438974E-3</v>
      </c>
      <c r="M180" s="497">
        <f t="shared" si="20"/>
        <v>30</v>
      </c>
      <c r="Q180" s="93">
        <f t="shared" si="29"/>
        <v>0</v>
      </c>
      <c r="R180" s="93">
        <f t="shared" si="29"/>
        <v>0</v>
      </c>
      <c r="S180" s="93">
        <f t="shared" si="29"/>
        <v>0</v>
      </c>
      <c r="T180" s="93">
        <f t="shared" si="29"/>
        <v>0</v>
      </c>
      <c r="U180" s="93">
        <f t="shared" si="29"/>
        <v>0</v>
      </c>
      <c r="V180" s="93">
        <f t="shared" si="29"/>
        <v>1</v>
      </c>
      <c r="W180" s="93">
        <f t="shared" si="29"/>
        <v>0</v>
      </c>
      <c r="X180" s="93">
        <f t="shared" si="29"/>
        <v>0</v>
      </c>
      <c r="Y180" s="93">
        <f t="shared" si="29"/>
        <v>0</v>
      </c>
      <c r="Z180" s="93">
        <f t="shared" si="29"/>
        <v>0</v>
      </c>
      <c r="AA180" s="93">
        <f t="shared" si="29"/>
        <v>0</v>
      </c>
      <c r="AB180" s="93">
        <f t="shared" si="29"/>
        <v>0</v>
      </c>
      <c r="AC180" s="93">
        <f t="shared" si="29"/>
        <v>0</v>
      </c>
      <c r="AD180" s="93">
        <f t="shared" si="29"/>
        <v>0</v>
      </c>
      <c r="AE180" s="93">
        <f t="shared" si="30"/>
        <v>0</v>
      </c>
      <c r="AF180" s="93">
        <f t="shared" si="30"/>
        <v>0</v>
      </c>
      <c r="AG180" s="93">
        <f t="shared" si="28"/>
        <v>0</v>
      </c>
      <c r="AH180" s="93">
        <f t="shared" si="28"/>
        <v>0</v>
      </c>
      <c r="AI180" s="93">
        <f t="shared" si="22"/>
        <v>0</v>
      </c>
      <c r="AJ180" s="93">
        <f t="shared" ref="AJ180:AL182" si="32">IF(AJ$143=$M180,1,0)</f>
        <v>0</v>
      </c>
      <c r="AK180" s="93">
        <f t="shared" si="32"/>
        <v>0</v>
      </c>
      <c r="AL180" s="93">
        <f t="shared" si="32"/>
        <v>0</v>
      </c>
    </row>
    <row r="181" spans="2:38" x14ac:dyDescent="0.2">
      <c r="B181" s="145" t="str">
        <f t="shared" si="19"/>
        <v>Infinitum Negocio RedNo Residencial</v>
      </c>
      <c r="C181" s="93">
        <f t="shared" si="21"/>
        <v>38</v>
      </c>
      <c r="D181" s="146" t="str">
        <v>Infinitum Negocio Red</v>
      </c>
      <c r="F181" s="174" t="str">
        <f>IFERROR(VLOOKUP($D181,'Planes y paquetes'!$C$661:$E$699,2,FALSE),"")</f>
        <v>No Residencial</v>
      </c>
      <c r="G181" s="174" t="str">
        <f>IFERROR(VLOOKUP($D181,'Planes y paquetes'!$C$661:$E$699,3,FALSE),"")</f>
        <v>Internet fijo</v>
      </c>
      <c r="H181" s="174" t="str">
        <f>IFERROR(VLOOKUP($D181,'Planes y paquetes'!$C$391:$BW$429,13,FALSE),"")</f>
        <v>50 Mbps</v>
      </c>
      <c r="I181" s="204">
        <f>INDEX(vector.implicit.prices.broadband.after.discount,MATCH('Cálculos auxiliares'!D181,vector.plans.names,0))</f>
        <v>782</v>
      </c>
      <c r="J181" s="202">
        <f t="shared" si="15"/>
        <v>679.49333434871278</v>
      </c>
      <c r="K181" s="203">
        <f t="shared" si="31"/>
        <v>8.565378331572874E-4</v>
      </c>
      <c r="M181" s="497">
        <f t="shared" si="20"/>
        <v>50</v>
      </c>
      <c r="Q181" s="93">
        <f t="shared" si="29"/>
        <v>0</v>
      </c>
      <c r="R181" s="93">
        <f t="shared" si="29"/>
        <v>0</v>
      </c>
      <c r="S181" s="93">
        <f t="shared" si="29"/>
        <v>0</v>
      </c>
      <c r="T181" s="93">
        <f t="shared" si="29"/>
        <v>0</v>
      </c>
      <c r="U181" s="93">
        <f t="shared" si="29"/>
        <v>0</v>
      </c>
      <c r="V181" s="93">
        <f t="shared" si="29"/>
        <v>0</v>
      </c>
      <c r="W181" s="93">
        <f t="shared" si="29"/>
        <v>0</v>
      </c>
      <c r="X181" s="93">
        <f t="shared" si="29"/>
        <v>1</v>
      </c>
      <c r="Y181" s="93">
        <f t="shared" si="29"/>
        <v>0</v>
      </c>
      <c r="Z181" s="93">
        <f t="shared" si="29"/>
        <v>0</v>
      </c>
      <c r="AA181" s="93">
        <f t="shared" si="29"/>
        <v>0</v>
      </c>
      <c r="AB181" s="93">
        <f t="shared" si="29"/>
        <v>0</v>
      </c>
      <c r="AC181" s="93">
        <f t="shared" si="29"/>
        <v>0</v>
      </c>
      <c r="AD181" s="93">
        <f t="shared" si="29"/>
        <v>0</v>
      </c>
      <c r="AE181" s="93">
        <f t="shared" si="30"/>
        <v>0</v>
      </c>
      <c r="AF181" s="93">
        <f t="shared" si="30"/>
        <v>0</v>
      </c>
      <c r="AG181" s="93">
        <f t="shared" si="28"/>
        <v>0</v>
      </c>
      <c r="AH181" s="93">
        <f t="shared" si="28"/>
        <v>0</v>
      </c>
      <c r="AI181" s="93">
        <f t="shared" si="22"/>
        <v>0</v>
      </c>
      <c r="AJ181" s="93">
        <f t="shared" si="32"/>
        <v>0</v>
      </c>
      <c r="AK181" s="93">
        <f t="shared" si="32"/>
        <v>0</v>
      </c>
      <c r="AL181" s="93">
        <f t="shared" si="32"/>
        <v>0</v>
      </c>
    </row>
    <row r="182" spans="2:38" ht="12" thickBot="1" x14ac:dyDescent="0.25">
      <c r="B182" s="145" t="str">
        <f t="shared" si="19"/>
        <v>Infinitum Negocio PremiumNo Residencial</v>
      </c>
      <c r="C182" s="93">
        <f t="shared" si="21"/>
        <v>39</v>
      </c>
      <c r="D182" s="146" t="str">
        <v>Infinitum Negocio Premium</v>
      </c>
      <c r="F182" s="174" t="str">
        <f>IFERROR(VLOOKUP($D182,'Planes y paquetes'!$C$661:$E$699,2,FALSE),"")</f>
        <v>No Residencial</v>
      </c>
      <c r="G182" s="174" t="str">
        <f>IFERROR(VLOOKUP($D182,'Planes y paquetes'!$C$661:$E$699,3,FALSE),"")</f>
        <v>Internet fijo</v>
      </c>
      <c r="H182" s="174" t="str">
        <f>IFERROR(VLOOKUP($D182,'Planes y paquetes'!$C$391:$BW$429,13,FALSE),"")</f>
        <v>100 Mbps</v>
      </c>
      <c r="I182" s="204">
        <f>INDEX(vector.implicit.prices.broadband.after.discount,MATCH('Cálculos auxiliares'!D182,vector.plans.names,0))</f>
        <v>911</v>
      </c>
      <c r="J182" s="202">
        <f t="shared" si="15"/>
        <v>808.49333434871278</v>
      </c>
      <c r="K182" s="203">
        <f t="shared" si="31"/>
        <v>7.6892049749816211E-4</v>
      </c>
      <c r="M182" s="497">
        <f t="shared" si="20"/>
        <v>100</v>
      </c>
      <c r="Q182" s="93">
        <f t="shared" si="29"/>
        <v>0</v>
      </c>
      <c r="R182" s="93">
        <f t="shared" si="29"/>
        <v>0</v>
      </c>
      <c r="S182" s="93">
        <f t="shared" si="29"/>
        <v>0</v>
      </c>
      <c r="T182" s="93">
        <f t="shared" si="29"/>
        <v>0</v>
      </c>
      <c r="U182" s="93">
        <f t="shared" si="29"/>
        <v>0</v>
      </c>
      <c r="V182" s="93">
        <f t="shared" si="29"/>
        <v>0</v>
      </c>
      <c r="W182" s="93">
        <f t="shared" si="29"/>
        <v>0</v>
      </c>
      <c r="X182" s="93">
        <f t="shared" si="29"/>
        <v>0</v>
      </c>
      <c r="Y182" s="93">
        <f t="shared" si="29"/>
        <v>0</v>
      </c>
      <c r="Z182" s="93">
        <f t="shared" si="29"/>
        <v>0</v>
      </c>
      <c r="AA182" s="93">
        <f t="shared" si="29"/>
        <v>0</v>
      </c>
      <c r="AB182" s="93">
        <f t="shared" si="29"/>
        <v>1</v>
      </c>
      <c r="AC182" s="93">
        <f t="shared" si="29"/>
        <v>0</v>
      </c>
      <c r="AD182" s="93">
        <f t="shared" si="29"/>
        <v>0</v>
      </c>
      <c r="AE182" s="93">
        <f t="shared" si="30"/>
        <v>0</v>
      </c>
      <c r="AF182" s="93">
        <f t="shared" si="30"/>
        <v>0</v>
      </c>
      <c r="AG182" s="93">
        <f t="shared" si="28"/>
        <v>0</v>
      </c>
      <c r="AH182" s="93">
        <f t="shared" si="28"/>
        <v>0</v>
      </c>
      <c r="AI182" s="93">
        <f t="shared" si="22"/>
        <v>0</v>
      </c>
      <c r="AJ182" s="93">
        <f t="shared" si="32"/>
        <v>0</v>
      </c>
      <c r="AK182" s="93">
        <f t="shared" si="32"/>
        <v>0</v>
      </c>
      <c r="AL182" s="93">
        <f t="shared" si="32"/>
        <v>0</v>
      </c>
    </row>
    <row r="183" spans="2:38" x14ac:dyDescent="0.2">
      <c r="C183" s="53"/>
      <c r="D183" s="53"/>
      <c r="E183" s="53"/>
      <c r="F183" s="53"/>
      <c r="G183" s="53"/>
      <c r="H183" s="53"/>
      <c r="I183" s="53"/>
      <c r="J183" s="53"/>
      <c r="K183" s="53"/>
      <c r="L183" s="181" t="s">
        <v>388</v>
      </c>
      <c r="M183" s="53"/>
      <c r="Q183" s="53" t="s">
        <v>402</v>
      </c>
      <c r="R183" s="53" t="s">
        <v>402</v>
      </c>
      <c r="S183" s="53" t="s">
        <v>402</v>
      </c>
      <c r="T183" s="53"/>
      <c r="U183" s="53" t="s">
        <v>402</v>
      </c>
      <c r="V183" s="53" t="s">
        <v>402</v>
      </c>
      <c r="W183" s="53" t="s">
        <v>402</v>
      </c>
      <c r="X183" s="53" t="s">
        <v>402</v>
      </c>
      <c r="Y183" s="53" t="s">
        <v>402</v>
      </c>
      <c r="Z183" s="53" t="s">
        <v>402</v>
      </c>
      <c r="AA183" s="53" t="s">
        <v>402</v>
      </c>
      <c r="AB183" s="53" t="s">
        <v>402</v>
      </c>
      <c r="AC183" s="53" t="s">
        <v>402</v>
      </c>
      <c r="AD183" s="53" t="s">
        <v>402</v>
      </c>
      <c r="AE183" s="53" t="s">
        <v>402</v>
      </c>
      <c r="AF183" s="53" t="s">
        <v>402</v>
      </c>
      <c r="AG183" s="53" t="s">
        <v>402</v>
      </c>
      <c r="AH183" s="53" t="s">
        <v>402</v>
      </c>
      <c r="AI183" s="53" t="s">
        <v>402</v>
      </c>
      <c r="AJ183" s="53" t="s">
        <v>402</v>
      </c>
      <c r="AK183" s="53" t="s">
        <v>402</v>
      </c>
      <c r="AL183" s="53" t="s">
        <v>402</v>
      </c>
    </row>
    <row r="184" spans="2:38" ht="12" x14ac:dyDescent="0.2">
      <c r="C184" s="101"/>
    </row>
    <row r="185" spans="2:38" ht="12" x14ac:dyDescent="0.2">
      <c r="C185" s="101" t="s">
        <v>403</v>
      </c>
      <c r="Q185" s="205">
        <f t="shared" ref="Q185:AL185" si="33">Q143</f>
        <v>3</v>
      </c>
      <c r="R185" s="205">
        <f t="shared" si="33"/>
        <v>5</v>
      </c>
      <c r="S185" s="205">
        <f t="shared" si="33"/>
        <v>10</v>
      </c>
      <c r="T185" s="205">
        <f t="shared" si="33"/>
        <v>15</v>
      </c>
      <c r="U185" s="205">
        <f t="shared" si="33"/>
        <v>20</v>
      </c>
      <c r="V185" s="205">
        <f t="shared" si="33"/>
        <v>30</v>
      </c>
      <c r="W185" s="205">
        <f t="shared" si="33"/>
        <v>40</v>
      </c>
      <c r="X185" s="205">
        <f t="shared" si="33"/>
        <v>50</v>
      </c>
      <c r="Y185" s="205">
        <f t="shared" si="33"/>
        <v>60</v>
      </c>
      <c r="Z185" s="205">
        <f t="shared" si="33"/>
        <v>70</v>
      </c>
      <c r="AA185" s="205">
        <f t="shared" si="33"/>
        <v>80</v>
      </c>
      <c r="AB185" s="205">
        <f t="shared" si="33"/>
        <v>100</v>
      </c>
      <c r="AC185" s="205">
        <f t="shared" si="33"/>
        <v>120</v>
      </c>
      <c r="AD185" s="205">
        <f t="shared" si="33"/>
        <v>150</v>
      </c>
      <c r="AE185" s="205">
        <f t="shared" si="33"/>
        <v>200</v>
      </c>
      <c r="AF185" s="205">
        <f t="shared" si="33"/>
        <v>250</v>
      </c>
      <c r="AG185" s="205">
        <f t="shared" si="33"/>
        <v>300</v>
      </c>
      <c r="AH185" s="205">
        <f t="shared" si="33"/>
        <v>350</v>
      </c>
      <c r="AI185" s="205">
        <f t="shared" si="33"/>
        <v>400</v>
      </c>
      <c r="AJ185" s="205">
        <f t="shared" si="33"/>
        <v>500</v>
      </c>
      <c r="AK185" s="205">
        <f t="shared" si="33"/>
        <v>750</v>
      </c>
      <c r="AL185" s="205">
        <f t="shared" si="33"/>
        <v>1000</v>
      </c>
    </row>
    <row r="186" spans="2:38" ht="27.9" customHeight="1" x14ac:dyDescent="0.2">
      <c r="H186" s="206" t="str">
        <f>"MXN/ Mbps "&amp;Year.selected</f>
        <v>MXN/ Mbps 2025</v>
      </c>
      <c r="I186" s="207"/>
      <c r="K186" s="208"/>
      <c r="L186" s="209"/>
      <c r="M186" s="43" t="s">
        <v>404</v>
      </c>
      <c r="N186" s="43" t="s">
        <v>405</v>
      </c>
      <c r="O186" s="43" t="s">
        <v>406</v>
      </c>
      <c r="P186" s="43" t="s">
        <v>407</v>
      </c>
      <c r="Q186" s="43" t="s">
        <v>408</v>
      </c>
      <c r="R186" s="43" t="s">
        <v>1069</v>
      </c>
    </row>
    <row r="187" spans="2:38" ht="42.9" customHeight="1" x14ac:dyDescent="0.2">
      <c r="C187" s="72"/>
      <c r="D187" s="210" t="s">
        <v>409</v>
      </c>
      <c r="E187" s="211" t="str">
        <f>"Suscriptores en el perfil en el año "&amp;Year.selected</f>
        <v>Suscriptores en el perfil en el año 2025</v>
      </c>
      <c r="F187" s="43" t="s">
        <v>410</v>
      </c>
      <c r="G187" s="43" t="s">
        <v>411</v>
      </c>
      <c r="H187" s="43" t="s">
        <v>412</v>
      </c>
      <c r="I187" s="212" t="s">
        <v>413</v>
      </c>
      <c r="J187" s="43" t="s">
        <v>414</v>
      </c>
      <c r="K187" s="208"/>
      <c r="L187" s="213"/>
      <c r="M187" s="43" t="s">
        <v>413</v>
      </c>
      <c r="N187" s="43" t="s">
        <v>415</v>
      </c>
      <c r="O187" s="43" t="s">
        <v>415</v>
      </c>
      <c r="P187" s="43" t="s">
        <v>415</v>
      </c>
      <c r="Q187" s="43" t="s">
        <v>415</v>
      </c>
      <c r="R187" s="43" t="s">
        <v>415</v>
      </c>
    </row>
    <row r="188" spans="2:38" x14ac:dyDescent="0.2">
      <c r="C188" s="100">
        <v>1</v>
      </c>
      <c r="D188" s="214">
        <v>5</v>
      </c>
      <c r="E188" s="178">
        <f>SUMIFS($K$144:$K$177,$M$144:$M$177,D188)</f>
        <v>0</v>
      </c>
      <c r="F188" s="177" t="str">
        <f>IFERROR(AVERAGEIFS($J$144:$J$177,$M$144:$M$177,$D188),"")</f>
        <v/>
      </c>
      <c r="G188" s="177" t="str">
        <f>IFERROR(SUMPRODUCT($J$144:$J$177,R$144:R$177,$K$144:$K$177)/E188,"")</f>
        <v/>
      </c>
      <c r="H188" s="179" t="str">
        <f t="shared" ref="H188:I205" si="34">IFERROR(F188/$D188,"")</f>
        <v/>
      </c>
      <c r="I188" s="179" t="str">
        <f t="shared" si="34"/>
        <v/>
      </c>
      <c r="J188" s="215" t="str">
        <f>H188</f>
        <v/>
      </c>
      <c r="K188" s="216"/>
      <c r="L188" s="214">
        <v>5</v>
      </c>
      <c r="M188" s="124">
        <v>24.640727940814351</v>
      </c>
      <c r="N188" s="124">
        <v>14.970654913370049</v>
      </c>
      <c r="O188" s="124">
        <v>14.457697534284586</v>
      </c>
      <c r="P188" s="124">
        <v>10.738</v>
      </c>
      <c r="Q188" s="124"/>
      <c r="R188" s="124"/>
    </row>
    <row r="189" spans="2:38" x14ac:dyDescent="0.2">
      <c r="C189" s="93">
        <f>C188+1</f>
        <v>2</v>
      </c>
      <c r="D189" s="214">
        <v>15</v>
      </c>
      <c r="E189" s="178">
        <f>SUMIFS($K$144:$K$182,$M$144:$M$182,D189)</f>
        <v>2.8689562292006802E-2</v>
      </c>
      <c r="F189" s="177">
        <f>IFERROR(AVERAGEIFS($J$144:$J$182,$M$144:$M$182,$D189),"")</f>
        <v>92.666666666666671</v>
      </c>
      <c r="G189" s="177">
        <f>IFERROR(SUMPRODUCT($J$144:$J$182,T$144:T$182,$K$144:$K$182)/E189,"")</f>
        <v>81.402647932524872</v>
      </c>
      <c r="H189" s="179">
        <f t="shared" si="34"/>
        <v>6.177777777777778</v>
      </c>
      <c r="I189" s="179">
        <f t="shared" si="34"/>
        <v>5.4268431955016583</v>
      </c>
      <c r="J189" s="215">
        <f>AVERAGE(H189,R189)</f>
        <v>5.3930555555555557</v>
      </c>
      <c r="K189" s="216"/>
      <c r="L189" s="214">
        <v>15</v>
      </c>
      <c r="M189" s="124"/>
      <c r="N189" s="124"/>
      <c r="O189" s="124"/>
      <c r="P189" s="124"/>
      <c r="Q189" s="124">
        <v>3.579333333333333</v>
      </c>
      <c r="R189" s="124">
        <v>4.6083333333333334</v>
      </c>
    </row>
    <row r="190" spans="2:38" x14ac:dyDescent="0.2">
      <c r="C190" s="93">
        <f t="shared" ref="C190:C205" si="35">C189+1</f>
        <v>3</v>
      </c>
      <c r="D190" s="214">
        <v>20</v>
      </c>
      <c r="E190" s="178">
        <f t="shared" ref="E190:E207" si="36">SUMIFS($K$144:$K$182,$M$144:$M$182,D190)</f>
        <v>0</v>
      </c>
      <c r="F190" s="177" t="str">
        <f t="shared" ref="F190:F207" si="37">IFERROR(AVERAGEIFS($J$144:$J$182,$M$144:$M$182,$D190),"")</f>
        <v/>
      </c>
      <c r="G190" s="177" t="str">
        <f>IFERROR(SUMPRODUCT($J$144:$J$177,U$144:U$177,$K$144:$K$177)/E190,"")</f>
        <v/>
      </c>
      <c r="H190" s="179" t="str">
        <f t="shared" si="34"/>
        <v/>
      </c>
      <c r="I190" s="179" t="str">
        <f t="shared" si="34"/>
        <v/>
      </c>
      <c r="J190" s="215">
        <f t="shared" ref="J190:J207" si="38">AVERAGE(H190,R190)</f>
        <v>6.0609546732533977</v>
      </c>
      <c r="K190" s="209"/>
      <c r="L190" s="214">
        <v>20</v>
      </c>
      <c r="M190" s="124">
        <v>5.837233825489184</v>
      </c>
      <c r="N190" s="124">
        <v>8.2825146166027803</v>
      </c>
      <c r="O190" s="124">
        <v>5.1475930254186402</v>
      </c>
      <c r="P190" s="124">
        <v>5.6204844768728908</v>
      </c>
      <c r="Q190" s="124">
        <v>6.0609546732533977</v>
      </c>
      <c r="R190" s="124">
        <v>6.0609546732533977</v>
      </c>
    </row>
    <row r="191" spans="2:38" x14ac:dyDescent="0.2">
      <c r="C191" s="93">
        <f t="shared" si="35"/>
        <v>4</v>
      </c>
      <c r="D191" s="214">
        <v>30</v>
      </c>
      <c r="E191" s="178">
        <f t="shared" si="36"/>
        <v>4.2689938007022428E-3</v>
      </c>
      <c r="F191" s="177">
        <f t="shared" si="37"/>
        <v>177.99333434871278</v>
      </c>
      <c r="G191" s="177">
        <f>IFERROR(SUMPRODUCT($J$144:$J$182,V$144:V$182,$K$144:$K$182)/E191,"")</f>
        <v>192.47147674203373</v>
      </c>
      <c r="H191" s="179">
        <f t="shared" si="34"/>
        <v>5.9331111449570928</v>
      </c>
      <c r="I191" s="179">
        <f t="shared" si="34"/>
        <v>6.4157158914011241</v>
      </c>
      <c r="J191" s="215">
        <f t="shared" si="38"/>
        <v>6.3256576365256389</v>
      </c>
      <c r="K191" s="209"/>
      <c r="L191" s="214">
        <v>30</v>
      </c>
      <c r="M191" s="124">
        <v>5.4659238249523581</v>
      </c>
      <c r="N191" s="124">
        <v>7.0268275908063664</v>
      </c>
      <c r="O191" s="124">
        <v>5.2061870205227621</v>
      </c>
      <c r="P191" s="124">
        <v>5.074779805378312</v>
      </c>
      <c r="Q191" s="124">
        <v>5.3195193503764875</v>
      </c>
      <c r="R191" s="124">
        <v>6.7182041280941842</v>
      </c>
    </row>
    <row r="192" spans="2:38" x14ac:dyDescent="0.2">
      <c r="C192" s="93">
        <f t="shared" si="35"/>
        <v>5</v>
      </c>
      <c r="D192" s="214">
        <v>40</v>
      </c>
      <c r="E192" s="178">
        <f t="shared" si="36"/>
        <v>3.0319558243623875E-4</v>
      </c>
      <c r="F192" s="177">
        <f t="shared" si="37"/>
        <v>164.99333434871278</v>
      </c>
      <c r="G192" s="177">
        <f>IFERROR(SUMPRODUCT($J$144:$J$182,W$144:W$182,$K$144:$K$182)/E192,"")</f>
        <v>197.36353843034544</v>
      </c>
      <c r="H192" s="179">
        <f t="shared" si="34"/>
        <v>4.1248333587178196</v>
      </c>
      <c r="I192" s="179">
        <f t="shared" si="34"/>
        <v>4.9340884607586357</v>
      </c>
      <c r="J192" s="215">
        <f t="shared" si="38"/>
        <v>4.0023098972339559</v>
      </c>
      <c r="K192" s="209"/>
      <c r="L192" s="214">
        <v>40</v>
      </c>
      <c r="M192" s="124">
        <v>5.319417217455733</v>
      </c>
      <c r="N192" s="124">
        <v>2.8196959679308331</v>
      </c>
      <c r="O192" s="124">
        <v>3.0244884433384414</v>
      </c>
      <c r="P192" s="124">
        <v>4.1969209131269061</v>
      </c>
      <c r="Q192" s="124">
        <v>3.8782395127823661</v>
      </c>
      <c r="R192" s="124">
        <v>3.8797864357500926</v>
      </c>
    </row>
    <row r="193" spans="3:18" x14ac:dyDescent="0.2">
      <c r="C193" s="93">
        <f t="shared" si="35"/>
        <v>6</v>
      </c>
      <c r="D193" s="214">
        <v>50</v>
      </c>
      <c r="E193" s="178">
        <f t="shared" si="36"/>
        <v>8.565378331572874E-4</v>
      </c>
      <c r="F193" s="177">
        <f t="shared" si="37"/>
        <v>679.49333434871278</v>
      </c>
      <c r="G193" s="177">
        <f>IFERROR(SUMPRODUCT($J$144:$J$182,X$144:X$182,$K$144:$K$182)/E193,"")</f>
        <v>679.49333434871278</v>
      </c>
      <c r="H193" s="179">
        <f t="shared" si="34"/>
        <v>13.589866686974256</v>
      </c>
      <c r="I193" s="179">
        <f t="shared" si="34"/>
        <v>13.589866686974256</v>
      </c>
      <c r="J193" s="215">
        <f t="shared" si="38"/>
        <v>10.546143056617275</v>
      </c>
      <c r="K193" s="209"/>
      <c r="L193" s="214">
        <v>50</v>
      </c>
      <c r="M193" s="124">
        <v>5.2396843659884498</v>
      </c>
      <c r="N193" s="124">
        <v>5.3222479649836085</v>
      </c>
      <c r="O193" s="124">
        <v>3.8579446158526634</v>
      </c>
      <c r="P193" s="124">
        <v>4.8093815647632052</v>
      </c>
      <c r="Q193" s="124">
        <v>2.8310388525205905</v>
      </c>
      <c r="R193" s="124">
        <v>7.5024194262602961</v>
      </c>
    </row>
    <row r="194" spans="3:18" x14ac:dyDescent="0.2">
      <c r="C194" s="93">
        <f t="shared" si="35"/>
        <v>7</v>
      </c>
      <c r="D194" s="214">
        <v>60</v>
      </c>
      <c r="E194" s="178">
        <f t="shared" si="36"/>
        <v>0</v>
      </c>
      <c r="F194" s="177" t="str">
        <f t="shared" si="37"/>
        <v/>
      </c>
      <c r="G194" s="177" t="str">
        <f>IFERROR(SUMPRODUCT($J$144:$J$182,W$144:W$182,$K$144:$K$182)/E194,"")</f>
        <v/>
      </c>
      <c r="H194" s="179" t="str">
        <f t="shared" si="34"/>
        <v/>
      </c>
      <c r="I194" s="179" t="str">
        <f t="shared" si="34"/>
        <v/>
      </c>
      <c r="J194" s="215">
        <f t="shared" si="38"/>
        <v>2.7033782220073315</v>
      </c>
      <c r="K194" s="209"/>
      <c r="L194" s="214">
        <v>60</v>
      </c>
      <c r="M194" s="124"/>
      <c r="N194" s="124"/>
      <c r="O194" s="124"/>
      <c r="P194" s="124">
        <v>3.8231386383937411</v>
      </c>
      <c r="Q194" s="124">
        <v>2.8570653049817851</v>
      </c>
      <c r="R194" s="124">
        <v>2.7033782220073315</v>
      </c>
    </row>
    <row r="195" spans="3:18" x14ac:dyDescent="0.2">
      <c r="C195" s="93">
        <f t="shared" si="35"/>
        <v>8</v>
      </c>
      <c r="D195" s="214">
        <v>70</v>
      </c>
      <c r="E195" s="178">
        <f t="shared" si="36"/>
        <v>0</v>
      </c>
      <c r="F195" s="177" t="str">
        <f t="shared" si="37"/>
        <v/>
      </c>
      <c r="G195" s="177" t="str">
        <f>IFERROR(SUMPRODUCT($J$144:$J$177,Z$144:Z$177,$K$144:$K$177)/E195,"")</f>
        <v/>
      </c>
      <c r="H195" s="179" t="str">
        <f t="shared" si="34"/>
        <v/>
      </c>
      <c r="I195" s="179" t="str">
        <f t="shared" si="34"/>
        <v/>
      </c>
      <c r="J195" s="215">
        <f t="shared" si="38"/>
        <v>2.7497330351849461</v>
      </c>
      <c r="K195" s="209"/>
      <c r="L195" s="214">
        <v>70</v>
      </c>
      <c r="M195" s="124"/>
      <c r="N195" s="124"/>
      <c r="O195" s="124"/>
      <c r="P195" s="124">
        <v>2.8744543440807591</v>
      </c>
      <c r="Q195" s="124">
        <v>2.7497330351849461</v>
      </c>
      <c r="R195" s="124">
        <v>2.7497330351849461</v>
      </c>
    </row>
    <row r="196" spans="3:18" x14ac:dyDescent="0.2">
      <c r="C196" s="93">
        <f t="shared" si="35"/>
        <v>9</v>
      </c>
      <c r="D196" s="214">
        <v>80</v>
      </c>
      <c r="E196" s="178">
        <f t="shared" si="36"/>
        <v>0.7179225055191909</v>
      </c>
      <c r="F196" s="177">
        <f t="shared" si="37"/>
        <v>158.13135131184634</v>
      </c>
      <c r="G196" s="177">
        <f>IFERROR(SUMPRODUCT($J$144:$J$182,AA$144:AA$182,$K$144:$K$182)/E196,"")</f>
        <v>141.71632751893944</v>
      </c>
      <c r="H196" s="179">
        <f t="shared" si="34"/>
        <v>1.9766418913980792</v>
      </c>
      <c r="I196" s="179">
        <f t="shared" si="34"/>
        <v>1.7714540939867429</v>
      </c>
      <c r="J196" s="215">
        <f t="shared" si="38"/>
        <v>2.3955072574133394</v>
      </c>
      <c r="K196" s="209"/>
      <c r="L196" s="214">
        <v>80</v>
      </c>
      <c r="M196" s="124"/>
      <c r="N196" s="124"/>
      <c r="O196" s="124"/>
      <c r="P196" s="124"/>
      <c r="Q196" s="124">
        <v>3.0167447563911836</v>
      </c>
      <c r="R196" s="124">
        <v>2.8143726234285995</v>
      </c>
    </row>
    <row r="197" spans="3:18" x14ac:dyDescent="0.2">
      <c r="C197" s="93">
        <f t="shared" si="35"/>
        <v>10</v>
      </c>
      <c r="D197" s="214">
        <v>100</v>
      </c>
      <c r="E197" s="178">
        <f t="shared" si="36"/>
        <v>4.7496268631781045E-2</v>
      </c>
      <c r="F197" s="177">
        <f t="shared" si="37"/>
        <v>389.15707367424886</v>
      </c>
      <c r="G197" s="177">
        <f>IFERROR(SUMPRODUCT($J$144:$J$182,AB$144:AB$182,$K$144:$K$182)/E197,"")</f>
        <v>230.75107000253465</v>
      </c>
      <c r="H197" s="179">
        <f t="shared" si="34"/>
        <v>3.8915707367424885</v>
      </c>
      <c r="I197" s="179">
        <f t="shared" si="34"/>
        <v>2.3075107000253463</v>
      </c>
      <c r="J197" s="215">
        <f t="shared" si="38"/>
        <v>3.527198619476132</v>
      </c>
      <c r="K197" s="209"/>
      <c r="L197" s="214">
        <v>100</v>
      </c>
      <c r="M197" s="124">
        <v>4.8002014101564185</v>
      </c>
      <c r="N197" s="124">
        <v>9.5234731813431672</v>
      </c>
      <c r="O197" s="124">
        <v>9.5093828110014496</v>
      </c>
      <c r="P197" s="124">
        <v>3.8767144757991843</v>
      </c>
      <c r="Q197" s="124">
        <v>2.251561768332933</v>
      </c>
      <c r="R197" s="124">
        <v>3.1628265022097759</v>
      </c>
    </row>
    <row r="198" spans="3:18" x14ac:dyDescent="0.2">
      <c r="C198" s="93">
        <f t="shared" si="35"/>
        <v>11</v>
      </c>
      <c r="D198" s="214">
        <v>120</v>
      </c>
      <c r="E198" s="178">
        <f t="shared" si="36"/>
        <v>0</v>
      </c>
      <c r="F198" s="177" t="str">
        <f t="shared" si="37"/>
        <v/>
      </c>
      <c r="G198" s="177" t="str">
        <f>IFERROR(SUMPRODUCT($J$144:$J$177,AC$144:AC$177,$K$144:$K$177)/E198,"")</f>
        <v/>
      </c>
      <c r="H198" s="179" t="str">
        <f t="shared" si="34"/>
        <v/>
      </c>
      <c r="I198" s="179" t="str">
        <f t="shared" si="34"/>
        <v/>
      </c>
      <c r="J198" s="215">
        <f t="shared" si="38"/>
        <v>2.0235909387997055</v>
      </c>
      <c r="K198" s="209"/>
      <c r="L198" s="214">
        <v>120</v>
      </c>
      <c r="M198" s="124"/>
      <c r="N198" s="124"/>
      <c r="O198" s="124"/>
      <c r="P198" s="124">
        <v>1.8011034319068921</v>
      </c>
      <c r="Q198" s="124">
        <v>2.0235909387997055</v>
      </c>
      <c r="R198" s="124">
        <v>2.0235909387997055</v>
      </c>
    </row>
    <row r="199" spans="3:18" x14ac:dyDescent="0.2">
      <c r="C199" s="93">
        <f t="shared" si="35"/>
        <v>12</v>
      </c>
      <c r="D199" s="214">
        <v>150</v>
      </c>
      <c r="E199" s="178">
        <f t="shared" si="36"/>
        <v>8.2225486925917732E-2</v>
      </c>
      <c r="F199" s="177">
        <f t="shared" si="37"/>
        <v>279.46053684857191</v>
      </c>
      <c r="G199" s="177">
        <f>IFERROR(SUMPRODUCT($J$144:$J$182,AD$144:AD$182,$K$144:$K$182)/E199,"")</f>
        <v>244.87233558041726</v>
      </c>
      <c r="H199" s="179">
        <f t="shared" si="34"/>
        <v>1.863070245657146</v>
      </c>
      <c r="I199" s="179">
        <f t="shared" si="34"/>
        <v>1.6324822372027816</v>
      </c>
      <c r="J199" s="215">
        <f t="shared" si="38"/>
        <v>1.7473220598401522</v>
      </c>
      <c r="K199" s="209"/>
      <c r="L199" s="214">
        <v>150</v>
      </c>
      <c r="M199" s="124">
        <v>2.125359559767436</v>
      </c>
      <c r="N199" s="124">
        <v>2.273100795297327</v>
      </c>
      <c r="O199" s="124">
        <v>1.8855379602653795</v>
      </c>
      <c r="P199" s="124">
        <v>1.6315738740231585</v>
      </c>
      <c r="Q199" s="124">
        <v>1.6315738740231585</v>
      </c>
      <c r="R199" s="124">
        <v>1.6315738740231585</v>
      </c>
    </row>
    <row r="200" spans="3:18" x14ac:dyDescent="0.2">
      <c r="C200" s="93">
        <f t="shared" si="35"/>
        <v>13</v>
      </c>
      <c r="D200" s="214">
        <v>200</v>
      </c>
      <c r="E200" s="178">
        <f t="shared" si="36"/>
        <v>0</v>
      </c>
      <c r="F200" s="177" t="str">
        <f t="shared" si="37"/>
        <v/>
      </c>
      <c r="G200" s="177" t="str">
        <f>IFERROR(SUMPRODUCT($J$144:$J$177,AE$144:AE$177,$K$144:$K$177)/E200,"")</f>
        <v/>
      </c>
      <c r="H200" s="179" t="str">
        <f t="shared" si="34"/>
        <v/>
      </c>
      <c r="I200" s="179" t="str">
        <f t="shared" si="34"/>
        <v/>
      </c>
      <c r="J200" s="215">
        <f t="shared" si="38"/>
        <v>1.6499016985317101</v>
      </c>
      <c r="K200" s="209"/>
      <c r="L200" s="214">
        <v>200</v>
      </c>
      <c r="M200" s="124">
        <v>2.5204783680033698</v>
      </c>
      <c r="N200" s="124">
        <v>2.6765205321564323</v>
      </c>
      <c r="O200" s="124">
        <v>1.496937005132454</v>
      </c>
      <c r="P200" s="124">
        <v>1.7097499803272</v>
      </c>
      <c r="Q200" s="124">
        <v>1.6955919962046375</v>
      </c>
      <c r="R200" s="124">
        <v>1.6499016985317101</v>
      </c>
    </row>
    <row r="201" spans="3:18" x14ac:dyDescent="0.2">
      <c r="C201" s="93">
        <f t="shared" si="35"/>
        <v>14</v>
      </c>
      <c r="D201" s="214">
        <v>250</v>
      </c>
      <c r="E201" s="178">
        <f t="shared" si="36"/>
        <v>3.3144846058733815E-2</v>
      </c>
      <c r="F201" s="177">
        <f t="shared" si="37"/>
        <v>354.81073200854053</v>
      </c>
      <c r="G201" s="177">
        <f>IFERROR(SUMPRODUCT($J$144:$J$182,AF$144:AF$182,$K$144:$K$182)/E201,"")</f>
        <v>327.74140584385236</v>
      </c>
      <c r="H201" s="179">
        <f t="shared" si="34"/>
        <v>1.4192429280341621</v>
      </c>
      <c r="I201" s="179">
        <f t="shared" si="34"/>
        <v>1.3109656233754095</v>
      </c>
      <c r="J201" s="215">
        <f t="shared" si="38"/>
        <v>1.4103669263066281</v>
      </c>
      <c r="K201" s="209"/>
      <c r="L201" s="214">
        <v>250</v>
      </c>
      <c r="M201" s="124"/>
      <c r="N201" s="124"/>
      <c r="O201" s="124"/>
      <c r="P201" s="124">
        <v>1.431614300518222</v>
      </c>
      <c r="Q201" s="124">
        <v>1.4014909245790941</v>
      </c>
      <c r="R201" s="124">
        <v>1.4014909245790941</v>
      </c>
    </row>
    <row r="202" spans="3:18" x14ac:dyDescent="0.2">
      <c r="C202" s="93">
        <f t="shared" si="35"/>
        <v>15</v>
      </c>
      <c r="D202" s="214">
        <v>300</v>
      </c>
      <c r="E202" s="178">
        <f t="shared" si="36"/>
        <v>0</v>
      </c>
      <c r="F202" s="177" t="str">
        <f t="shared" si="37"/>
        <v/>
      </c>
      <c r="G202" s="177" t="str">
        <f>IFERROR(SUMPRODUCT($J$144:$J$177,AE$144:AE$177,$K$144:$K$177)/E202,"")</f>
        <v/>
      </c>
      <c r="H202" s="179" t="str">
        <f t="shared" si="34"/>
        <v/>
      </c>
      <c r="I202" s="179" t="str">
        <f t="shared" si="34"/>
        <v/>
      </c>
      <c r="J202" s="215">
        <f t="shared" si="38"/>
        <v>1.2385836475215115</v>
      </c>
      <c r="K202" s="209"/>
      <c r="L202" s="214">
        <v>300</v>
      </c>
      <c r="M202" s="124"/>
      <c r="N202" s="124">
        <v>2.3146567205309112</v>
      </c>
      <c r="O202" s="124">
        <v>3.2857408957107825</v>
      </c>
      <c r="P202" s="124"/>
      <c r="Q202" s="124"/>
      <c r="R202" s="124">
        <v>1.2385836475215115</v>
      </c>
    </row>
    <row r="203" spans="3:18" x14ac:dyDescent="0.2">
      <c r="C203" s="93">
        <f t="shared" si="35"/>
        <v>16</v>
      </c>
      <c r="D203" s="214">
        <v>350</v>
      </c>
      <c r="E203" s="178">
        <f t="shared" si="36"/>
        <v>6.2848030371369629E-2</v>
      </c>
      <c r="F203" s="177">
        <f t="shared" si="37"/>
        <v>324.59510757467291</v>
      </c>
      <c r="G203" s="177">
        <f>IFERROR(SUMPRODUCT($J$144:$J$182,AH$144:AH$182,$K$144:$K$182)/E203,"")</f>
        <v>349.45031717277004</v>
      </c>
      <c r="H203" s="179">
        <f t="shared" si="34"/>
        <v>0.92741459307049401</v>
      </c>
      <c r="I203" s="179">
        <f t="shared" si="34"/>
        <v>0.99842947763648582</v>
      </c>
      <c r="J203" s="215">
        <f t="shared" si="38"/>
        <v>1.4401037509879422</v>
      </c>
      <c r="K203" s="217"/>
      <c r="L203" s="214">
        <v>350</v>
      </c>
      <c r="M203" s="124"/>
      <c r="N203" s="124">
        <v>1.9527929089053901</v>
      </c>
      <c r="O203" s="124">
        <v>1.9527929089053901</v>
      </c>
      <c r="P203" s="124"/>
      <c r="Q203" s="124"/>
      <c r="R203" s="124">
        <v>1.9527929089053901</v>
      </c>
    </row>
    <row r="204" spans="3:18" x14ac:dyDescent="0.2">
      <c r="C204" s="93">
        <f t="shared" si="35"/>
        <v>17</v>
      </c>
      <c r="D204" s="214">
        <v>400</v>
      </c>
      <c r="E204" s="178">
        <f t="shared" si="36"/>
        <v>0</v>
      </c>
      <c r="F204" s="177" t="str">
        <f t="shared" si="37"/>
        <v/>
      </c>
      <c r="G204" s="177" t="str">
        <f>IFERROR(SUMPRODUCT($J$144:$J$177,AE$144:AE$177,$K$144:$K$177)/E204,"")</f>
        <v/>
      </c>
      <c r="H204" s="179" t="str">
        <f t="shared" si="34"/>
        <v/>
      </c>
      <c r="I204" s="179" t="str">
        <f t="shared" si="34"/>
        <v/>
      </c>
      <c r="J204" s="215">
        <f t="shared" si="38"/>
        <v>1.8377930997763605</v>
      </c>
      <c r="K204" s="217"/>
      <c r="L204" s="214">
        <v>400</v>
      </c>
      <c r="M204" s="124"/>
      <c r="N204" s="124">
        <v>1.6258924727169264</v>
      </c>
      <c r="O204" s="124">
        <v>1.8377930997763605</v>
      </c>
      <c r="P204" s="124"/>
      <c r="Q204" s="124"/>
      <c r="R204" s="124">
        <v>1.8377930997763605</v>
      </c>
    </row>
    <row r="205" spans="3:18" x14ac:dyDescent="0.2">
      <c r="C205" s="93">
        <f t="shared" si="35"/>
        <v>18</v>
      </c>
      <c r="D205" s="214">
        <v>500</v>
      </c>
      <c r="E205" s="178">
        <f t="shared" si="36"/>
        <v>5.0382443069976138E-3</v>
      </c>
      <c r="F205" s="177">
        <f t="shared" si="37"/>
        <v>442.29122465933739</v>
      </c>
      <c r="G205" s="177">
        <f>IFERROR(SUMPRODUCT($J$144:$J$182,AJ$144:AJ$182,$K$144:$K$182)/E205,"")</f>
        <v>412.2155601196356</v>
      </c>
      <c r="H205" s="179">
        <f t="shared" si="34"/>
        <v>0.8845824493186748</v>
      </c>
      <c r="I205" s="179">
        <f t="shared" si="34"/>
        <v>0.82443112023927123</v>
      </c>
      <c r="J205" s="215">
        <f t="shared" si="38"/>
        <v>1.0403493819727121</v>
      </c>
      <c r="L205" s="214">
        <v>500</v>
      </c>
      <c r="M205" s="124"/>
      <c r="N205" s="124"/>
      <c r="O205" s="124"/>
      <c r="P205" s="124">
        <v>1.2347227727776433</v>
      </c>
      <c r="Q205" s="124">
        <v>1.1686126292534986</v>
      </c>
      <c r="R205" s="124">
        <v>1.1961163146267493</v>
      </c>
    </row>
    <row r="206" spans="3:18" x14ac:dyDescent="0.2">
      <c r="C206" s="93">
        <f>C205+1</f>
        <v>19</v>
      </c>
      <c r="D206" s="214">
        <v>750</v>
      </c>
      <c r="E206" s="178">
        <f t="shared" si="36"/>
        <v>1.3800885397102473E-2</v>
      </c>
      <c r="F206" s="177">
        <f t="shared" si="37"/>
        <v>753.98440235813212</v>
      </c>
      <c r="G206" s="177">
        <f>IFERROR(SUMPRODUCT($J$144:$J$182,AK$144:AK$182,$K$144:$K$182)/E206,"")</f>
        <v>679.02722508923318</v>
      </c>
      <c r="H206" s="179">
        <f>IFERROR(F206/$D206,"")</f>
        <v>1.0053125364775095</v>
      </c>
      <c r="I206" s="179">
        <f>IFERROR(G206/$D206,"")</f>
        <v>0.90536963345231092</v>
      </c>
      <c r="J206" s="215">
        <f t="shared" si="38"/>
        <v>1.0471609788223157</v>
      </c>
      <c r="L206" s="214">
        <v>750</v>
      </c>
      <c r="M206" s="124"/>
      <c r="N206" s="124"/>
      <c r="O206" s="124"/>
      <c r="P206" s="124"/>
      <c r="Q206" s="124">
        <v>1.0489066666666667</v>
      </c>
      <c r="R206" s="124">
        <v>1.089009421167122</v>
      </c>
    </row>
    <row r="207" spans="3:18" x14ac:dyDescent="0.2">
      <c r="C207" s="93">
        <f>C206+1</f>
        <v>20</v>
      </c>
      <c r="D207" s="214">
        <v>1000</v>
      </c>
      <c r="E207" s="178">
        <f t="shared" si="36"/>
        <v>3.4054432806042527E-3</v>
      </c>
      <c r="F207" s="177">
        <f t="shared" si="37"/>
        <v>1445.3814804951592</v>
      </c>
      <c r="G207" s="177">
        <f>IFERROR(SUMPRODUCT($J$144:$J$182,AL$144:AL$182,$K$144:$K$182)/E207,"")</f>
        <v>1520.7073501386947</v>
      </c>
      <c r="H207" s="179">
        <f>IFERROR(F207/$D207,"")</f>
        <v>1.4453814804951592</v>
      </c>
      <c r="I207" s="179">
        <f>IFERROR(G207/$D207,"")</f>
        <v>1.5207073501386947</v>
      </c>
      <c r="J207" s="215">
        <f t="shared" si="38"/>
        <v>1.2626040718506526</v>
      </c>
      <c r="L207" s="214">
        <v>1000</v>
      </c>
      <c r="M207" s="124"/>
      <c r="N207" s="124"/>
      <c r="O207" s="124"/>
      <c r="P207" s="124">
        <v>1.1413648100199798</v>
      </c>
      <c r="Q207" s="124">
        <v>0.82368961632388127</v>
      </c>
      <c r="R207" s="124">
        <v>1.0798266632061462</v>
      </c>
    </row>
    <row r="208" spans="3:18" ht="12" x14ac:dyDescent="0.2">
      <c r="C208" s="101" t="s">
        <v>416</v>
      </c>
    </row>
    <row r="209" spans="1:17" ht="36" x14ac:dyDescent="0.2">
      <c r="E209" s="218" t="s">
        <v>417</v>
      </c>
      <c r="G209" s="219" t="s">
        <v>418</v>
      </c>
      <c r="H209" s="220"/>
      <c r="I209" s="531" t="s">
        <v>419</v>
      </c>
      <c r="J209" s="531"/>
      <c r="K209" s="531"/>
      <c r="L209" s="531"/>
      <c r="M209" s="531"/>
      <c r="N209" s="531"/>
      <c r="O209" s="531"/>
      <c r="P209" s="531"/>
    </row>
    <row r="210" spans="1:17" ht="41.25" customHeight="1" x14ac:dyDescent="0.2">
      <c r="C210" s="72"/>
      <c r="D210" s="210" t="s">
        <v>409</v>
      </c>
      <c r="E210" s="210" t="s">
        <v>420</v>
      </c>
      <c r="F210" s="210" t="s">
        <v>421</v>
      </c>
      <c r="G210" s="210" t="s">
        <v>422</v>
      </c>
      <c r="H210" s="221"/>
      <c r="I210" s="222" t="s">
        <v>423</v>
      </c>
      <c r="J210" s="223" t="s">
        <v>424</v>
      </c>
      <c r="K210" s="222" t="s">
        <v>404</v>
      </c>
      <c r="L210" s="222" t="s">
        <v>425</v>
      </c>
      <c r="M210" s="222" t="s">
        <v>426</v>
      </c>
      <c r="N210" s="222" t="s">
        <v>427</v>
      </c>
      <c r="O210" s="222" t="s">
        <v>428</v>
      </c>
      <c r="P210" s="222" t="s">
        <v>429</v>
      </c>
      <c r="Q210" s="222" t="s">
        <v>1070</v>
      </c>
    </row>
    <row r="211" spans="1:17" ht="12" x14ac:dyDescent="0.2">
      <c r="A211" s="19"/>
      <c r="C211" s="93">
        <f>1</f>
        <v>1</v>
      </c>
      <c r="D211" s="489">
        <v>15</v>
      </c>
      <c r="E211" s="177">
        <f t="shared" ref="E211:E218" si="39">EXP(TREND(LN($J$189:$J$207),LN($D$189:$D$207),LN(D211)))</f>
        <v>6.8820381852156576</v>
      </c>
      <c r="F211" s="199">
        <f t="shared" ref="F211:F217" si="40">D211*E211</f>
        <v>103.23057277823486</v>
      </c>
      <c r="G211" s="224">
        <f>AVERAGE(F211,Q211)</f>
        <v>143.3746333369304</v>
      </c>
      <c r="H211" s="225"/>
      <c r="I211" s="124"/>
      <c r="J211" s="124"/>
      <c r="K211" s="124"/>
      <c r="L211" s="124"/>
      <c r="M211" s="124"/>
      <c r="N211" s="226"/>
      <c r="O211" s="226"/>
      <c r="P211" s="226">
        <v>270.948483013577</v>
      </c>
      <c r="Q211" s="226">
        <v>183.51869389562597</v>
      </c>
    </row>
    <row r="212" spans="1:17" ht="12" x14ac:dyDescent="0.2">
      <c r="A212" s="19"/>
      <c r="C212" s="93">
        <f>C211+1</f>
        <v>2</v>
      </c>
      <c r="D212" s="489">
        <v>30</v>
      </c>
      <c r="E212" s="177">
        <f t="shared" si="39"/>
        <v>4.9020139420958033</v>
      </c>
      <c r="F212" s="199">
        <f>D212*E212</f>
        <v>147.06041826287409</v>
      </c>
      <c r="G212" s="224">
        <f t="shared" ref="G212:G222" si="41">AVERAGE(F212,Q212)</f>
        <v>164.42529293321996</v>
      </c>
      <c r="H212" s="225"/>
      <c r="I212" s="124">
        <v>241.19985579690092</v>
      </c>
      <c r="J212" s="124">
        <v>228.94564677043039</v>
      </c>
      <c r="K212" s="124">
        <v>215.92036345868991</v>
      </c>
      <c r="L212" s="124">
        <v>210.54004281964521</v>
      </c>
      <c r="M212" s="124">
        <v>200.33097893425017</v>
      </c>
      <c r="N212" s="226">
        <v>200.33097893425017</v>
      </c>
      <c r="O212" s="226">
        <v>165.1834652538721</v>
      </c>
      <c r="P212" s="226">
        <v>223.8588971971395</v>
      </c>
      <c r="Q212" s="226">
        <v>181.79016760356581</v>
      </c>
    </row>
    <row r="213" spans="1:17" ht="12" x14ac:dyDescent="0.2">
      <c r="A213" s="19"/>
      <c r="C213" s="93">
        <f t="shared" ref="C213:C222" si="42">C212+1</f>
        <v>3</v>
      </c>
      <c r="D213" s="489">
        <v>40</v>
      </c>
      <c r="E213" s="177">
        <f t="shared" si="39"/>
        <v>4.2581589068419499</v>
      </c>
      <c r="F213" s="199">
        <f t="shared" si="40"/>
        <v>170.32635627367799</v>
      </c>
      <c r="G213" s="224">
        <f t="shared" si="41"/>
        <v>187.93041516579967</v>
      </c>
      <c r="H213" s="225"/>
      <c r="I213" s="124">
        <v>267.48392347762547</v>
      </c>
      <c r="J213" s="124">
        <v>255.75503577588071</v>
      </c>
      <c r="K213" s="124">
        <v>242.78777755771156</v>
      </c>
      <c r="L213" s="124">
        <v>239.54309763183818</v>
      </c>
      <c r="M213" s="124">
        <v>230.42821514654574</v>
      </c>
      <c r="N213" s="226">
        <v>230.42821514654574</v>
      </c>
      <c r="O213" s="226">
        <v>191.21194237735199</v>
      </c>
      <c r="P213" s="226">
        <v>247.86002014347864</v>
      </c>
      <c r="Q213" s="226">
        <v>205.53447405792139</v>
      </c>
    </row>
    <row r="214" spans="1:17" ht="12" x14ac:dyDescent="0.2">
      <c r="A214" s="19"/>
      <c r="C214" s="93">
        <f t="shared" si="42"/>
        <v>4</v>
      </c>
      <c r="D214" s="489">
        <v>50</v>
      </c>
      <c r="E214" s="177">
        <f t="shared" si="39"/>
        <v>3.8175801394550972</v>
      </c>
      <c r="F214" s="199">
        <f>D214*E214</f>
        <v>190.87900697275487</v>
      </c>
      <c r="G214" s="224">
        <f t="shared" si="41"/>
        <v>208.66014814087475</v>
      </c>
      <c r="H214" s="225"/>
      <c r="I214" s="124">
        <v>293.76799115834996</v>
      </c>
      <c r="J214" s="124">
        <v>280.67479860371833</v>
      </c>
      <c r="K214" s="124">
        <v>266.90875557014147</v>
      </c>
      <c r="L214" s="124">
        <v>265.28979211741114</v>
      </c>
      <c r="M214" s="124">
        <v>257.13994399178995</v>
      </c>
      <c r="N214" s="226">
        <v>257.13994399178995</v>
      </c>
      <c r="O214" s="226">
        <v>214.34601137044677</v>
      </c>
      <c r="P214" s="226">
        <v>268.76886504077402</v>
      </c>
      <c r="Q214" s="226">
        <v>226.44128930899461</v>
      </c>
    </row>
    <row r="215" spans="1:17" ht="12" x14ac:dyDescent="0.2">
      <c r="A215" s="19"/>
      <c r="C215" s="93">
        <f t="shared" si="42"/>
        <v>5</v>
      </c>
      <c r="D215" s="489">
        <v>80</v>
      </c>
      <c r="E215" s="177">
        <f t="shared" si="39"/>
        <v>3.0330483160991886</v>
      </c>
      <c r="F215" s="199">
        <f t="shared" si="40"/>
        <v>242.64386528793509</v>
      </c>
      <c r="G215" s="224">
        <f t="shared" si="41"/>
        <v>271.5673316841536</v>
      </c>
      <c r="H215" s="225"/>
      <c r="I215" s="124"/>
      <c r="J215" s="124"/>
      <c r="K215" s="124"/>
      <c r="L215" s="124"/>
      <c r="M215" s="124"/>
      <c r="N215" s="226"/>
      <c r="O215" s="226"/>
      <c r="P215" s="226">
        <v>363.66193719356096</v>
      </c>
      <c r="Q215" s="226">
        <v>300.49079808037209</v>
      </c>
    </row>
    <row r="216" spans="1:17" ht="12" x14ac:dyDescent="0.2">
      <c r="A216" s="19"/>
      <c r="C216" s="93">
        <f t="shared" si="42"/>
        <v>6</v>
      </c>
      <c r="D216" s="489">
        <v>100</v>
      </c>
      <c r="E216" s="177">
        <f t="shared" si="39"/>
        <v>2.7192280201058634</v>
      </c>
      <c r="F216" s="199">
        <f t="shared" si="40"/>
        <v>271.92280201058634</v>
      </c>
      <c r="G216" s="224">
        <f t="shared" si="41"/>
        <v>289.96332357418822</v>
      </c>
      <c r="H216" s="225"/>
      <c r="I216" s="124">
        <v>383.87838199343037</v>
      </c>
      <c r="J216" s="124">
        <v>370.07014652046655</v>
      </c>
      <c r="K216" s="124">
        <v>355.92904728068902</v>
      </c>
      <c r="L216" s="124">
        <v>363.27293812216448</v>
      </c>
      <c r="M216" s="124">
        <v>361.15718656170446</v>
      </c>
      <c r="N216" s="226">
        <v>361.15718656170446</v>
      </c>
      <c r="O216" s="226">
        <v>305.50293749320525</v>
      </c>
      <c r="P216" s="226">
        <v>348.29069549987207</v>
      </c>
      <c r="Q216" s="226">
        <v>308.00384513779011</v>
      </c>
    </row>
    <row r="217" spans="1:17" ht="12" x14ac:dyDescent="0.2">
      <c r="A217" s="19"/>
      <c r="C217" s="93">
        <f t="shared" si="42"/>
        <v>7</v>
      </c>
      <c r="D217" s="489">
        <v>150</v>
      </c>
      <c r="E217" s="177">
        <f t="shared" si="39"/>
        <v>2.2297479253546308</v>
      </c>
      <c r="F217" s="199">
        <f t="shared" si="40"/>
        <v>334.46218880319464</v>
      </c>
      <c r="G217" s="224">
        <f t="shared" si="41"/>
        <v>334.46218880319464</v>
      </c>
      <c r="H217" s="225"/>
      <c r="I217" s="124"/>
      <c r="J217" s="124"/>
      <c r="K217" s="124"/>
      <c r="L217" s="124"/>
      <c r="M217" s="124"/>
      <c r="N217" s="226"/>
      <c r="O217" s="226"/>
      <c r="P217" s="226"/>
      <c r="Q217" s="226"/>
    </row>
    <row r="218" spans="1:17" ht="12" x14ac:dyDescent="0.2">
      <c r="A218" s="19"/>
      <c r="C218" s="93">
        <f t="shared" si="42"/>
        <v>8</v>
      </c>
      <c r="D218" s="489">
        <v>250</v>
      </c>
      <c r="E218" s="177">
        <f t="shared" si="39"/>
        <v>1.7364784140507208</v>
      </c>
      <c r="F218" s="199">
        <f>D218*E218</f>
        <v>434.11960351268021</v>
      </c>
      <c r="G218" s="224">
        <f t="shared" si="41"/>
        <v>434.11960351268021</v>
      </c>
      <c r="H218" s="225"/>
      <c r="I218" s="124"/>
      <c r="J218" s="124"/>
      <c r="K218" s="124"/>
      <c r="L218" s="124"/>
      <c r="M218" s="124"/>
      <c r="N218" s="226"/>
      <c r="O218" s="226"/>
      <c r="P218" s="226"/>
      <c r="Q218" s="226"/>
    </row>
    <row r="219" spans="1:17" ht="12" x14ac:dyDescent="0.2">
      <c r="A219" s="19"/>
      <c r="C219" s="93">
        <f t="shared" si="42"/>
        <v>9</v>
      </c>
      <c r="D219" s="489">
        <v>350</v>
      </c>
      <c r="E219" s="177">
        <f>EXP(TREND(LN($J$189:$J$207),LN($D$189:$D$207),LN(D219)))</f>
        <v>1.4728054050776904</v>
      </c>
      <c r="F219" s="199">
        <f>D219*E219</f>
        <v>515.48189177719166</v>
      </c>
      <c r="G219" s="224">
        <f t="shared" si="41"/>
        <v>515.48189177719166</v>
      </c>
      <c r="H219" s="225"/>
      <c r="I219" s="124"/>
      <c r="J219" s="124"/>
      <c r="K219" s="124"/>
      <c r="L219" s="124"/>
      <c r="M219" s="124"/>
      <c r="N219" s="226"/>
      <c r="O219" s="226"/>
      <c r="P219" s="226"/>
      <c r="Q219" s="226"/>
    </row>
    <row r="220" spans="1:17" ht="12" x14ac:dyDescent="0.2">
      <c r="A220" s="19"/>
      <c r="C220" s="93">
        <f t="shared" si="42"/>
        <v>10</v>
      </c>
      <c r="D220" s="489">
        <v>500</v>
      </c>
      <c r="E220" s="177">
        <f>EXP(TREND(LN($J$189:$J$207),LN($D$189:$D$207),LN(D220)))</f>
        <v>1.2368779664883978</v>
      </c>
      <c r="F220" s="199">
        <f>D220*E220</f>
        <v>618.43898324419888</v>
      </c>
      <c r="G220" s="224">
        <f t="shared" si="41"/>
        <v>606.36347183217538</v>
      </c>
      <c r="H220" s="225"/>
      <c r="I220" s="124"/>
      <c r="J220" s="124"/>
      <c r="K220" s="124"/>
      <c r="L220" s="124"/>
      <c r="M220" s="124"/>
      <c r="N220" s="226"/>
      <c r="O220" s="226">
        <v>598.14161917278363</v>
      </c>
      <c r="P220" s="226">
        <v>550.02170909549011</v>
      </c>
      <c r="Q220" s="226">
        <v>594.28796042015188</v>
      </c>
    </row>
    <row r="221" spans="1:17" ht="12" x14ac:dyDescent="0.2">
      <c r="A221" s="19"/>
      <c r="C221" s="93">
        <f t="shared" si="42"/>
        <v>11</v>
      </c>
      <c r="D221" s="489">
        <v>750</v>
      </c>
      <c r="E221" s="177">
        <f>EXP(TREND(LN($J$189:$J$207),LN($D$189:$D$207),LN(D221)))</f>
        <v>1.0142312668530784</v>
      </c>
      <c r="F221" s="199">
        <f>D221*E221</f>
        <v>760.67345013980878</v>
      </c>
      <c r="G221" s="224">
        <f t="shared" si="41"/>
        <v>713.80534858580768</v>
      </c>
      <c r="H221" s="225"/>
      <c r="I221" s="124"/>
      <c r="J221" s="124"/>
      <c r="K221" s="124"/>
      <c r="L221" s="124"/>
      <c r="M221" s="124"/>
      <c r="N221" s="226"/>
      <c r="O221" s="226"/>
      <c r="P221" s="226">
        <v>538.98508286765968</v>
      </c>
      <c r="Q221" s="226">
        <v>666.93724703180669</v>
      </c>
    </row>
    <row r="222" spans="1:17" ht="12.6" thickBot="1" x14ac:dyDescent="0.25">
      <c r="A222" s="516"/>
      <c r="C222" s="93">
        <f t="shared" si="42"/>
        <v>12</v>
      </c>
      <c r="D222" s="489">
        <v>1000</v>
      </c>
      <c r="E222" s="177">
        <f>EXP(TREND(LN($J$189:$J$207),LN($D$189:$D$207),LN(D222)))</f>
        <v>0.88101705820558929</v>
      </c>
      <c r="F222" s="199">
        <f>D222*E222</f>
        <v>881.01705820558925</v>
      </c>
      <c r="G222" s="224">
        <f t="shared" si="41"/>
        <v>852.39661160921673</v>
      </c>
      <c r="H222" s="225"/>
      <c r="I222" s="124"/>
      <c r="J222" s="124"/>
      <c r="K222" s="124"/>
      <c r="L222" s="124"/>
      <c r="M222" s="124"/>
      <c r="N222" s="199"/>
      <c r="O222" s="226">
        <v>871.13429421694445</v>
      </c>
      <c r="P222" s="226">
        <v>719.04020972674357</v>
      </c>
      <c r="Q222" s="226">
        <v>823.77616501284433</v>
      </c>
    </row>
    <row r="223" spans="1:17" ht="12" x14ac:dyDescent="0.2">
      <c r="C223" s="53"/>
      <c r="D223" s="53"/>
      <c r="E223" s="53"/>
      <c r="F223" s="53"/>
      <c r="G223" s="53"/>
      <c r="H223" s="227"/>
      <c r="I223" s="53"/>
    </row>
    <row r="224" spans="1:17" x14ac:dyDescent="0.2">
      <c r="E224" s="228"/>
    </row>
    <row r="226" spans="1:62" ht="12" x14ac:dyDescent="0.2">
      <c r="A226" s="99">
        <v>7</v>
      </c>
      <c r="B226" s="99" t="s">
        <v>430</v>
      </c>
      <c r="C226" s="76"/>
      <c r="D226" s="76"/>
      <c r="E226" s="76"/>
      <c r="F226" s="76"/>
      <c r="G226" s="76"/>
      <c r="H226" s="76"/>
      <c r="I226" s="76"/>
      <c r="J226" s="76"/>
      <c r="K226" s="76"/>
      <c r="L226" s="76"/>
      <c r="M226" s="76"/>
      <c r="N226" s="76"/>
      <c r="O226" s="76"/>
      <c r="P226" s="76"/>
      <c r="Q226" s="76"/>
      <c r="R226" s="76"/>
      <c r="S226" s="76"/>
      <c r="T226" s="76"/>
      <c r="U226" s="76"/>
      <c r="V226" s="76"/>
      <c r="W226" s="76"/>
      <c r="X226" s="76"/>
      <c r="Y226" s="76"/>
      <c r="Z226" s="76"/>
      <c r="AA226" s="76"/>
      <c r="AB226" s="76"/>
      <c r="AC226" s="76"/>
      <c r="AD226" s="76"/>
      <c r="AE226" s="76"/>
      <c r="AF226" s="76"/>
      <c r="AG226" s="76"/>
      <c r="AH226" s="76"/>
      <c r="AI226" s="76"/>
      <c r="AJ226" s="76"/>
      <c r="AK226" s="76"/>
      <c r="AL226" s="76"/>
      <c r="AM226" s="76"/>
      <c r="AN226" s="76"/>
      <c r="AO226" s="76"/>
      <c r="AP226" s="76"/>
      <c r="AQ226" s="76"/>
      <c r="AR226" s="76"/>
      <c r="AS226" s="76"/>
      <c r="AT226" s="76"/>
      <c r="AU226" s="76"/>
      <c r="AV226" s="76"/>
      <c r="AW226" s="76"/>
      <c r="AX226" s="76"/>
      <c r="AY226" s="76"/>
      <c r="AZ226" s="76"/>
      <c r="BA226" s="76"/>
      <c r="BB226" s="76"/>
      <c r="BC226" s="76"/>
      <c r="BD226" s="76"/>
      <c r="BE226" s="76"/>
      <c r="BF226" s="76"/>
      <c r="BG226" s="76"/>
      <c r="BH226" s="76"/>
      <c r="BI226" s="76"/>
      <c r="BJ226" s="76"/>
    </row>
    <row r="228" spans="1:62" ht="12" x14ac:dyDescent="0.2">
      <c r="D228" s="175" t="s">
        <v>431</v>
      </c>
      <c r="E228" s="210" t="s">
        <v>432</v>
      </c>
      <c r="F228" s="210" t="s">
        <v>361</v>
      </c>
      <c r="G228" s="210" t="s">
        <v>364</v>
      </c>
      <c r="H228" s="210" t="s">
        <v>215</v>
      </c>
    </row>
    <row r="229" spans="1:62" ht="12" x14ac:dyDescent="0.2">
      <c r="D229" t="s">
        <v>150</v>
      </c>
      <c r="E229" s="19" t="s">
        <v>433</v>
      </c>
      <c r="F229" s="229">
        <v>688.8</v>
      </c>
      <c r="G229" t="s">
        <v>434</v>
      </c>
      <c r="J229" s="230"/>
    </row>
    <row r="230" spans="1:62" ht="12" x14ac:dyDescent="0.2">
      <c r="D230" t="s">
        <v>435</v>
      </c>
      <c r="E230" s="19" t="s">
        <v>433</v>
      </c>
      <c r="F230" s="229">
        <v>1378.45</v>
      </c>
      <c r="G230" t="s">
        <v>434</v>
      </c>
      <c r="J230" s="230"/>
    </row>
    <row r="231" spans="1:62" ht="12.6" thickBot="1" x14ac:dyDescent="0.25">
      <c r="D231" t="s">
        <v>436</v>
      </c>
      <c r="E231" s="19" t="s">
        <v>433</v>
      </c>
      <c r="F231" s="229">
        <v>1921.55</v>
      </c>
      <c r="G231" t="s">
        <v>434</v>
      </c>
      <c r="J231" s="230"/>
    </row>
    <row r="232" spans="1:62" ht="12" x14ac:dyDescent="0.2">
      <c r="D232" s="153"/>
      <c r="E232" s="153"/>
      <c r="F232" s="153"/>
      <c r="G232" s="153"/>
      <c r="H232" s="153"/>
    </row>
    <row r="233" spans="1:62" ht="12" x14ac:dyDescent="0.2">
      <c r="D233" s="175" t="s">
        <v>431</v>
      </c>
      <c r="E233" s="210" t="s">
        <v>432</v>
      </c>
      <c r="F233" s="210" t="s">
        <v>361</v>
      </c>
      <c r="G233" s="210" t="s">
        <v>364</v>
      </c>
      <c r="H233" s="210" t="s">
        <v>215</v>
      </c>
    </row>
    <row r="234" spans="1:62" x14ac:dyDescent="0.2">
      <c r="D234" t="s">
        <v>150</v>
      </c>
      <c r="E234" s="19" t="s">
        <v>433</v>
      </c>
      <c r="F234" s="231">
        <f>F229</f>
        <v>688.8</v>
      </c>
      <c r="G234" t="s">
        <v>434</v>
      </c>
      <c r="I234" s="230"/>
    </row>
    <row r="235" spans="1:62" x14ac:dyDescent="0.2">
      <c r="D235" t="s">
        <v>435</v>
      </c>
      <c r="E235" s="19" t="s">
        <v>433</v>
      </c>
      <c r="F235" s="231">
        <f>F230</f>
        <v>1378.45</v>
      </c>
      <c r="G235" t="s">
        <v>434</v>
      </c>
      <c r="I235" s="230"/>
    </row>
    <row r="236" spans="1:62" ht="12" thickBot="1" x14ac:dyDescent="0.25">
      <c r="D236" t="s">
        <v>436</v>
      </c>
      <c r="E236" s="19" t="s">
        <v>433</v>
      </c>
      <c r="F236" s="231">
        <f>F231</f>
        <v>1921.55</v>
      </c>
      <c r="G236" t="s">
        <v>434</v>
      </c>
      <c r="I236" s="230"/>
    </row>
    <row r="237" spans="1:62" ht="12" x14ac:dyDescent="0.2">
      <c r="D237" s="153"/>
      <c r="E237" s="153"/>
      <c r="F237" s="153"/>
      <c r="G237" s="153"/>
      <c r="H237" s="153"/>
    </row>
    <row r="239" spans="1:62" ht="48" x14ac:dyDescent="0.2">
      <c r="D239" s="43" t="s">
        <v>431</v>
      </c>
      <c r="E239" s="43" t="str">
        <f>"Cantidad "&amp;Year.selected&amp;" de suscriptores por medio de transmisión"</f>
        <v>Cantidad 2025 de suscriptores por medio de transmisión</v>
      </c>
      <c r="F239" s="43" t="str">
        <f>"Distribución "&amp;Year.selected&amp;" de suscriptores por medio de transmisión"</f>
        <v>Distribución 2025 de suscriptores por medio de transmisión</v>
      </c>
      <c r="G239" s="43" t="s">
        <v>437</v>
      </c>
      <c r="H239" s="43" t="s">
        <v>438</v>
      </c>
      <c r="I239" s="43" t="s">
        <v>439</v>
      </c>
      <c r="J239" s="210" t="s">
        <v>215</v>
      </c>
      <c r="K239" s="232"/>
    </row>
    <row r="240" spans="1:62" ht="12" x14ac:dyDescent="0.2">
      <c r="E240" s="19" t="s">
        <v>158</v>
      </c>
      <c r="F240" s="19" t="s">
        <v>223</v>
      </c>
      <c r="G240" s="233" t="s">
        <v>433</v>
      </c>
      <c r="H240" s="233" t="s">
        <v>433</v>
      </c>
      <c r="I240" s="233" t="s">
        <v>433</v>
      </c>
    </row>
    <row r="241" spans="1:62" ht="12" x14ac:dyDescent="0.2">
      <c r="D241" s="19" t="s">
        <v>386</v>
      </c>
      <c r="E241" s="234">
        <v>1449363</v>
      </c>
      <c r="F241" s="235">
        <f>E241/(SUM($E$241:$E$243))</f>
        <v>0.12160883177530102</v>
      </c>
      <c r="G241" s="236">
        <f>F241*F234*'Calculos Banda Ancha'!$J$14</f>
        <v>61001834.40189755</v>
      </c>
      <c r="H241" s="236">
        <f>equipo.terminal.parameter*suscriptores2024*F241*F234</f>
        <v>1757198.9223070773</v>
      </c>
      <c r="I241" s="237">
        <f>SUM(G241:H241)</f>
        <v>62759033.324204624</v>
      </c>
      <c r="K241" s="238"/>
      <c r="L241" s="135"/>
    </row>
    <row r="242" spans="1:62" ht="12" x14ac:dyDescent="0.2">
      <c r="D242" s="19" t="s">
        <v>440</v>
      </c>
      <c r="E242" s="234">
        <v>465289</v>
      </c>
      <c r="F242" s="235">
        <f>E242/(SUM($E$241:$E$243))</f>
        <v>3.9040082938434355E-2</v>
      </c>
      <c r="G242" s="236">
        <f>F242*F235*'Calculos Banda Ancha'!$J$14</f>
        <v>39191003.998719454</v>
      </c>
      <c r="H242" s="236">
        <f>equipo.terminal.parameter*suscriptores2024*F242*F235</f>
        <v>1128923.2637984406</v>
      </c>
      <c r="I242" s="237">
        <f>SUM(G242:H242)</f>
        <v>40319927.262517892</v>
      </c>
      <c r="K242" s="238"/>
    </row>
    <row r="243" spans="1:62" ht="12.6" thickBot="1" x14ac:dyDescent="0.25">
      <c r="D243" s="19" t="s">
        <v>441</v>
      </c>
      <c r="E243" s="234">
        <v>10003586</v>
      </c>
      <c r="F243" s="235">
        <f>E243/(SUM($E$241:$E$243))</f>
        <v>0.83935108528626468</v>
      </c>
      <c r="G243" s="236">
        <f>F243*F236*'Calculos Banda Ancha'!$J$14</f>
        <v>1174572925.5884051</v>
      </c>
      <c r="H243" s="236">
        <f>equipo.terminal.parameter*suscriptores2024*F243*F236</f>
        <v>33834364.150708452</v>
      </c>
      <c r="I243" s="237">
        <f>SUM(G243:H243)</f>
        <v>1208407289.7391136</v>
      </c>
      <c r="K243" s="238"/>
      <c r="L243" s="135"/>
    </row>
    <row r="244" spans="1:62" ht="12" x14ac:dyDescent="0.2">
      <c r="D244" s="153"/>
      <c r="E244" s="239"/>
      <c r="F244" s="240">
        <f>F241+F243+F242</f>
        <v>1</v>
      </c>
      <c r="G244" s="153"/>
      <c r="H244" s="153"/>
      <c r="I244" s="153"/>
      <c r="J244" s="153"/>
      <c r="K244" s="241"/>
    </row>
    <row r="245" spans="1:62" ht="12" x14ac:dyDescent="0.2">
      <c r="G245" s="577" t="s">
        <v>1075</v>
      </c>
      <c r="H245" s="577"/>
    </row>
    <row r="246" spans="1:62" ht="24" x14ac:dyDescent="0.2">
      <c r="G246" s="389" t="s">
        <v>1076</v>
      </c>
      <c r="H246" s="578" t="s">
        <v>1077</v>
      </c>
    </row>
    <row r="247" spans="1:62" ht="38.25" customHeight="1" x14ac:dyDescent="0.2">
      <c r="D247" s="43" t="s">
        <v>431</v>
      </c>
      <c r="E247" s="43" t="s">
        <v>442</v>
      </c>
      <c r="F247" s="43" t="s">
        <v>443</v>
      </c>
      <c r="G247" s="43" t="s">
        <v>444</v>
      </c>
      <c r="H247" s="43" t="s">
        <v>215</v>
      </c>
    </row>
    <row r="248" spans="1:62" ht="12" x14ac:dyDescent="0.2">
      <c r="E248" s="233" t="s">
        <v>279</v>
      </c>
      <c r="F248" s="233" t="s">
        <v>223</v>
      </c>
      <c r="G248" s="233" t="s">
        <v>279</v>
      </c>
    </row>
    <row r="249" spans="1:62" ht="12" x14ac:dyDescent="0.2">
      <c r="B249" s="230"/>
      <c r="D249" s="19" t="s">
        <v>150</v>
      </c>
      <c r="E249" s="199">
        <f>(SUMPRODUCT(F107:F118,G211:G222))/(E241)</f>
        <v>301.88838378396372</v>
      </c>
      <c r="F249" s="242">
        <f>'Calculos Banda Ancha'!K97</f>
        <v>1.6876879437989774E-2</v>
      </c>
      <c r="G249" s="237">
        <f>E249*F249</f>
        <v>5.0949338568515428</v>
      </c>
      <c r="H249" s="198">
        <v>4.6051689529408542</v>
      </c>
    </row>
    <row r="250" spans="1:62" ht="12" x14ac:dyDescent="0.2">
      <c r="D250" s="19" t="s">
        <v>435</v>
      </c>
      <c r="E250" s="199">
        <f>(SUMPRODUCT(F107:F118,G211:G222))/(E242)</f>
        <v>940.37437718552769</v>
      </c>
      <c r="F250" s="242">
        <f>'Calculos Banda Ancha'!K98</f>
        <v>3.3774585454844665E-2</v>
      </c>
      <c r="G250" s="237">
        <f>E250*F250</f>
        <v>31.760754761798935</v>
      </c>
      <c r="H250" s="198">
        <v>28.70766252525793</v>
      </c>
    </row>
    <row r="251" spans="1:62" ht="12.6" thickBot="1" x14ac:dyDescent="0.25">
      <c r="D251" s="19" t="s">
        <v>436</v>
      </c>
      <c r="E251" s="199">
        <f>(SUMPRODUCT(G107:G118,G211:G222))/(E243)</f>
        <v>302.91969876821997</v>
      </c>
      <c r="F251" s="242">
        <f>'Calculos Banda Ancha'!K99</f>
        <v>4.7081544256778823E-2</v>
      </c>
      <c r="G251" s="237">
        <f>E251*F251</f>
        <v>14.261927203806058</v>
      </c>
      <c r="H251" s="198">
        <v>14.87324107127662</v>
      </c>
    </row>
    <row r="252" spans="1:62" ht="12" x14ac:dyDescent="0.2">
      <c r="D252" s="153"/>
      <c r="E252" s="153"/>
      <c r="F252" s="153"/>
      <c r="G252" s="153"/>
      <c r="H252" s="153"/>
    </row>
    <row r="254" spans="1:62" ht="12" x14ac:dyDescent="0.2">
      <c r="A254" s="99">
        <v>7</v>
      </c>
      <c r="B254" s="99" t="s">
        <v>445</v>
      </c>
      <c r="C254" s="76"/>
      <c r="D254" s="76"/>
      <c r="E254" s="76"/>
      <c r="F254" s="76"/>
      <c r="G254" s="76"/>
      <c r="H254" s="76"/>
      <c r="I254" s="76"/>
      <c r="J254" s="76"/>
      <c r="K254" s="76"/>
      <c r="L254" s="76"/>
      <c r="M254" s="76"/>
      <c r="N254" s="76"/>
      <c r="O254" s="76"/>
      <c r="P254" s="76"/>
      <c r="Q254" s="76"/>
      <c r="R254" s="76"/>
      <c r="S254" s="76"/>
      <c r="T254" s="76"/>
      <c r="U254" s="76"/>
      <c r="V254" s="76"/>
      <c r="W254" s="76"/>
      <c r="X254" s="76"/>
      <c r="Y254" s="76"/>
      <c r="Z254" s="76"/>
      <c r="AA254" s="76"/>
      <c r="AB254" s="76"/>
      <c r="AC254" s="76"/>
      <c r="AD254" s="76"/>
      <c r="AE254" s="76"/>
      <c r="AF254" s="76"/>
      <c r="AG254" s="76"/>
      <c r="AH254" s="76"/>
      <c r="AI254" s="76"/>
      <c r="AJ254" s="76"/>
      <c r="AK254" s="76"/>
      <c r="AL254" s="76"/>
      <c r="AM254" s="76"/>
      <c r="AN254" s="76"/>
      <c r="AO254" s="76"/>
      <c r="AP254" s="76"/>
      <c r="AQ254" s="76"/>
      <c r="AR254" s="76"/>
      <c r="AS254" s="76"/>
      <c r="AT254" s="76"/>
      <c r="AU254" s="76"/>
      <c r="AV254" s="76"/>
      <c r="AW254" s="76"/>
      <c r="AX254" s="76"/>
      <c r="AY254" s="76"/>
      <c r="AZ254" s="76"/>
      <c r="BA254" s="76"/>
      <c r="BB254" s="76"/>
      <c r="BC254" s="76"/>
      <c r="BD254" s="76"/>
      <c r="BE254" s="76"/>
      <c r="BF254" s="76"/>
      <c r="BG254" s="76"/>
      <c r="BH254" s="76"/>
      <c r="BI254" s="76"/>
      <c r="BJ254" s="76"/>
    </row>
    <row r="257" spans="4:29" ht="12" x14ac:dyDescent="0.2">
      <c r="D257" s="175" t="s">
        <v>431</v>
      </c>
      <c r="E257" s="210" t="s">
        <v>213</v>
      </c>
      <c r="F257" s="210" t="s">
        <v>361</v>
      </c>
      <c r="G257" s="210" t="s">
        <v>364</v>
      </c>
      <c r="H257" s="210" t="s">
        <v>215</v>
      </c>
    </row>
    <row r="258" spans="4:29" ht="12" x14ac:dyDescent="0.2">
      <c r="D258" t="s">
        <v>386</v>
      </c>
      <c r="E258" s="19" t="s">
        <v>433</v>
      </c>
      <c r="F258" s="243">
        <v>610.96</v>
      </c>
      <c r="G258" t="s">
        <v>446</v>
      </c>
      <c r="K258" s="244"/>
      <c r="L258" s="244"/>
      <c r="M258" s="244"/>
      <c r="N258" s="244"/>
      <c r="O258" s="244"/>
    </row>
    <row r="259" spans="4:29" ht="12.6" thickBot="1" x14ac:dyDescent="0.25">
      <c r="D259" t="s">
        <v>447</v>
      </c>
      <c r="E259" s="19" t="s">
        <v>433</v>
      </c>
      <c r="F259" s="243">
        <v>1948.6425855513301</v>
      </c>
      <c r="G259" t="s">
        <v>446</v>
      </c>
    </row>
    <row r="260" spans="4:29" ht="12" x14ac:dyDescent="0.2">
      <c r="D260" s="153"/>
      <c r="E260" s="153"/>
      <c r="F260" s="153"/>
      <c r="G260" s="153"/>
      <c r="H260" s="153"/>
    </row>
    <row r="261" spans="4:29" ht="48" x14ac:dyDescent="0.2">
      <c r="D261" s="175" t="s">
        <v>431</v>
      </c>
      <c r="E261" s="43" t="str">
        <f>"Cantidad "&amp;Year.selected&amp;" de suscriptores por medio de transmisión"</f>
        <v>Cantidad 2025 de suscriptores por medio de transmisión</v>
      </c>
      <c r="F261" s="43" t="str">
        <f>"Distribución "&amp;Year.selected&amp;" de suscriptores por medio de transmisión"</f>
        <v>Distribución 2025 de suscriptores por medio de transmisión</v>
      </c>
      <c r="G261" s="43" t="s">
        <v>448</v>
      </c>
      <c r="H261" s="210" t="s">
        <v>215</v>
      </c>
      <c r="AB261" s="245"/>
      <c r="AC261" s="245"/>
    </row>
    <row r="262" spans="4:29" ht="12" x14ac:dyDescent="0.2">
      <c r="E262" s="19" t="s">
        <v>158</v>
      </c>
      <c r="F262" s="19" t="s">
        <v>223</v>
      </c>
      <c r="G262" s="233" t="s">
        <v>433</v>
      </c>
      <c r="AB262" s="245"/>
      <c r="AC262" s="245"/>
    </row>
    <row r="263" spans="4:29" ht="12" x14ac:dyDescent="0.2">
      <c r="D263" t="s">
        <v>386</v>
      </c>
      <c r="E263" s="246">
        <f>E241+E242</f>
        <v>1914652</v>
      </c>
      <c r="F263" s="235">
        <f>E263/SUM(E263:E264)</f>
        <v>0.16064891471373538</v>
      </c>
      <c r="G263" s="215">
        <f>F258*F263*('Calculos Banda Ancha'!$J$14)</f>
        <v>71478464.367161825</v>
      </c>
      <c r="AB263" s="245"/>
      <c r="AC263" s="245"/>
    </row>
    <row r="264" spans="4:29" ht="12.6" thickBot="1" x14ac:dyDescent="0.25">
      <c r="D264" t="s">
        <v>447</v>
      </c>
      <c r="E264" s="246">
        <f>E243</f>
        <v>10003586</v>
      </c>
      <c r="F264" s="235">
        <f>1-F263</f>
        <v>0.83935108528626468</v>
      </c>
      <c r="G264" s="215">
        <f>F259*F264*'Calculos Banda Ancha'!$J$14</f>
        <v>1191133627.8718638</v>
      </c>
      <c r="AB264" s="245"/>
      <c r="AC264" s="245"/>
    </row>
    <row r="265" spans="4:29" ht="12" x14ac:dyDescent="0.2">
      <c r="D265" s="153"/>
      <c r="E265" s="239"/>
      <c r="F265" s="247">
        <f>SUM(F263:F264)</f>
        <v>1</v>
      </c>
      <c r="G265" s="153"/>
      <c r="H265" s="153"/>
      <c r="I265" s="577" t="s">
        <v>1075</v>
      </c>
      <c r="J265" s="577"/>
      <c r="AB265" s="245"/>
      <c r="AC265" s="245"/>
    </row>
    <row r="266" spans="4:29" ht="12" x14ac:dyDescent="0.2">
      <c r="I266" s="389" t="s">
        <v>1076</v>
      </c>
      <c r="J266" s="578" t="s">
        <v>1077</v>
      </c>
    </row>
    <row r="267" spans="4:29" ht="44.25" customHeight="1" x14ac:dyDescent="0.2">
      <c r="D267" s="175" t="s">
        <v>431</v>
      </c>
      <c r="E267" s="43" t="s">
        <v>449</v>
      </c>
      <c r="F267" s="43" t="s">
        <v>450</v>
      </c>
      <c r="G267" s="43" t="s">
        <v>451</v>
      </c>
      <c r="H267" s="43" t="s">
        <v>452</v>
      </c>
      <c r="I267" s="210" t="s">
        <v>453</v>
      </c>
      <c r="J267" s="210" t="s">
        <v>453</v>
      </c>
    </row>
    <row r="268" spans="4:29" ht="12" x14ac:dyDescent="0.2">
      <c r="E268" s="19"/>
      <c r="F268" s="233" t="s">
        <v>223</v>
      </c>
      <c r="G268" s="233" t="s">
        <v>279</v>
      </c>
      <c r="H268" s="233" t="s">
        <v>279</v>
      </c>
      <c r="I268" s="233" t="s">
        <v>279</v>
      </c>
    </row>
    <row r="269" spans="4:29" ht="12" x14ac:dyDescent="0.2">
      <c r="D269" t="s">
        <v>454</v>
      </c>
      <c r="F269" s="248">
        <f>G263/SUM('Calculos Renta de Linea y Voz'!J50,'Calculos Banda Ancha'!J42*F263)</f>
        <v>2.7976340324894597E-3</v>
      </c>
      <c r="G269" s="215">
        <f>F269*E249</f>
        <v>0.84457321648725603</v>
      </c>
      <c r="H269" s="249">
        <f>F269*S276</f>
        <v>0.93431571859933771</v>
      </c>
      <c r="I269" s="237">
        <f>AVERAGE(G269:H269)</f>
        <v>0.88944446754329687</v>
      </c>
      <c r="J269" s="198">
        <v>0.84521841547819665</v>
      </c>
      <c r="K269" s="230"/>
      <c r="L269" s="230"/>
    </row>
    <row r="270" spans="4:29" ht="12.6" thickBot="1" x14ac:dyDescent="0.25">
      <c r="D270" t="s">
        <v>455</v>
      </c>
      <c r="F270" s="235">
        <f>G264/('Calculos Banda Ancha'!J42*'Cálculos auxiliares'!F264)</f>
        <v>4.6408533854917437E-2</v>
      </c>
      <c r="G270" s="215">
        <f>F270*E251</f>
        <v>14.058059095606328</v>
      </c>
      <c r="H270" s="249">
        <f>T276*F270</f>
        <v>17.280342096211388</v>
      </c>
      <c r="I270" s="237">
        <f>AVERAGE(G270:H270)</f>
        <v>15.669200595908858</v>
      </c>
      <c r="J270" s="198">
        <v>16.148236621220985</v>
      </c>
    </row>
    <row r="271" spans="4:29" ht="12" x14ac:dyDescent="0.2">
      <c r="D271" s="153"/>
      <c r="E271" s="251"/>
      <c r="F271" s="227"/>
      <c r="G271" s="153"/>
      <c r="H271" s="153"/>
      <c r="I271" s="153"/>
    </row>
    <row r="274" spans="2:38" ht="12" x14ac:dyDescent="0.2">
      <c r="D274" s="252"/>
      <c r="E274" s="252"/>
      <c r="F274" s="252"/>
      <c r="H274" s="253">
        <f>Year.selected</f>
        <v>2025</v>
      </c>
      <c r="I274" s="253"/>
      <c r="J274" s="253"/>
      <c r="K274" s="253"/>
      <c r="L274" s="253"/>
      <c r="M274" s="253"/>
      <c r="N274" s="254"/>
      <c r="S274" s="532">
        <v>2024</v>
      </c>
      <c r="T274" s="532"/>
      <c r="V274" s="43">
        <v>2023</v>
      </c>
      <c r="W274" s="43"/>
      <c r="Y274" s="43">
        <v>2022</v>
      </c>
      <c r="Z274" s="43"/>
      <c r="AB274" s="43">
        <v>2021</v>
      </c>
      <c r="AC274" s="43"/>
      <c r="AE274" s="43">
        <v>2020</v>
      </c>
      <c r="AF274" s="43"/>
      <c r="AH274" s="43">
        <v>2019</v>
      </c>
      <c r="AI274" s="43"/>
      <c r="AK274" s="43">
        <v>2018</v>
      </c>
      <c r="AL274" s="43"/>
    </row>
    <row r="275" spans="2:38" ht="24" x14ac:dyDescent="0.2">
      <c r="D275" s="43" t="s">
        <v>456</v>
      </c>
      <c r="E275" s="43" t="s">
        <v>457</v>
      </c>
      <c r="F275" s="255" t="s">
        <v>458</v>
      </c>
      <c r="G275" s="43" t="s">
        <v>396</v>
      </c>
      <c r="H275" s="43" t="s">
        <v>386</v>
      </c>
      <c r="I275" s="43" t="s">
        <v>447</v>
      </c>
      <c r="J275" s="43" t="s">
        <v>386</v>
      </c>
      <c r="K275" s="43" t="s">
        <v>447</v>
      </c>
      <c r="L275" s="43" t="s">
        <v>459</v>
      </c>
      <c r="M275" s="43" t="s">
        <v>460</v>
      </c>
      <c r="S275" s="43" t="s">
        <v>386</v>
      </c>
      <c r="T275" s="43" t="s">
        <v>387</v>
      </c>
      <c r="V275" s="43" t="s">
        <v>386</v>
      </c>
      <c r="W275" s="43" t="s">
        <v>387</v>
      </c>
      <c r="Y275" s="43" t="s">
        <v>386</v>
      </c>
      <c r="Z275" s="43" t="s">
        <v>387</v>
      </c>
      <c r="AB275" s="43" t="s">
        <v>386</v>
      </c>
      <c r="AC275" s="43" t="s">
        <v>461</v>
      </c>
      <c r="AE275" s="43" t="s">
        <v>386</v>
      </c>
      <c r="AF275" s="43" t="s">
        <v>461</v>
      </c>
      <c r="AH275" s="43" t="s">
        <v>386</v>
      </c>
      <c r="AI275" s="43" t="s">
        <v>461</v>
      </c>
      <c r="AK275" s="43" t="s">
        <v>386</v>
      </c>
      <c r="AL275" s="43" t="s">
        <v>461</v>
      </c>
    </row>
    <row r="276" spans="2:38" x14ac:dyDescent="0.2">
      <c r="B276" s="145" t="str">
        <f>D276&amp;E276</f>
        <v>Paquete 249Residencial</v>
      </c>
      <c r="C276" s="95">
        <v>1</v>
      </c>
      <c r="D276" s="256" t="str">
        <f t="array" ref="D276:D314">vector.broadband.plans.names</f>
        <v>Paquete 249</v>
      </c>
      <c r="E276" s="90" t="str">
        <f>IFERROR(VLOOKUP($D276,'Planes y paquetes'!$C$391:$E$429,2,FALSE),"")</f>
        <v>Residencial</v>
      </c>
      <c r="F276" s="90" t="str">
        <f>IFERROR(VLOOKUP($D276,'Planes y paquetes'!$C$391:$E$429,3,FALSE),"")</f>
        <v>Telefonía fija + Internet fijo</v>
      </c>
      <c r="G276" s="19" t="str">
        <f t="shared" ref="G276:G314" si="43">H144</f>
        <v>15 Mbps</v>
      </c>
      <c r="H276" s="257">
        <f>IFERROR(VLOOKUP($D276,'Planes y paquetes'!$C$661:$L$699,10,FALSE),"")+IFERROR(VLOOKUP($D276,'Planes y paquetes'!$C$661:$L$699,8,FALSE),"")</f>
        <v>33638</v>
      </c>
      <c r="I276" s="257">
        <f>IFERROR(VLOOKUP($D276,'Planes y paquetes'!$C$661:$L$699,9,FALSE),"")</f>
        <v>146376</v>
      </c>
      <c r="J276" s="132">
        <f t="shared" ref="J276:J314" si="44">IFERROR(H276/H$315,"")</f>
        <v>2.1187316080138671E-2</v>
      </c>
      <c r="K276" s="132">
        <f t="shared" ref="K276:K314" si="45">IFERROR(I276/I$315,"")</f>
        <v>1.5020938866145698E-2</v>
      </c>
      <c r="L276" s="258">
        <f>IFERROR(VLOOKUP($D276,'Planes y paquetes'!$C$391:$G$429,4,FALSE),"")</f>
        <v>210.24</v>
      </c>
      <c r="M276" s="258"/>
      <c r="S276" s="259">
        <f>SUMPRODUCT(J276:J309,$L$276:$L$309)</f>
        <v>333.96638293248878</v>
      </c>
      <c r="T276" s="259">
        <f>SUMPRODUCT(K276:K309,$L$276:$L$309)</f>
        <v>372.35268302664485</v>
      </c>
      <c r="V276" s="259">
        <v>356.23038306434512</v>
      </c>
      <c r="W276" s="259">
        <v>394.54190569818644</v>
      </c>
      <c r="Y276" s="259">
        <v>360.20803685588464</v>
      </c>
      <c r="Z276" s="259">
        <v>406.35409617829657</v>
      </c>
      <c r="AB276" s="260">
        <v>351.10707757000114</v>
      </c>
      <c r="AC276" s="260">
        <v>407.13554822910902</v>
      </c>
      <c r="AE276" s="260">
        <v>354.23468054745609</v>
      </c>
      <c r="AF276" s="260">
        <v>398.42767765013781</v>
      </c>
      <c r="AH276" s="259">
        <v>359.92725525919627</v>
      </c>
      <c r="AI276" s="259">
        <v>421.27195625216774</v>
      </c>
      <c r="AK276" s="259">
        <v>323.67502835645826</v>
      </c>
      <c r="AL276" s="259">
        <v>419.37750009751812</v>
      </c>
    </row>
    <row r="277" spans="2:38" x14ac:dyDescent="0.2">
      <c r="B277" s="145" t="str">
        <f t="shared" ref="B277:B309" si="46">D277&amp;E277</f>
        <v>Paquete 289Residencial</v>
      </c>
      <c r="C277" s="95">
        <f>C276+1</f>
        <v>2</v>
      </c>
      <c r="D277" s="256" t="str">
        <v>Paquete 289</v>
      </c>
      <c r="E277" s="90" t="str">
        <f>IFERROR(VLOOKUP($D277,'Planes y paquetes'!$C$391:$E$429,2,FALSE),"")</f>
        <v>Residencial</v>
      </c>
      <c r="F277" s="90" t="str">
        <f>IFERROR(VLOOKUP($D277,'Planes y paquetes'!$C$391:$E$429,3,FALSE),"")</f>
        <v>Telefonía fija + Internet fijo</v>
      </c>
      <c r="G277" s="19" t="str">
        <f t="shared" si="43"/>
        <v>15 Mbps</v>
      </c>
      <c r="H277" s="257">
        <f>IFERROR(VLOOKUP($D277,'Planes y paquetes'!$C$661:$L$699,10,FALSE),"")+IFERROR(VLOOKUP($D277,'Planes y paquetes'!$C$661:$L$699,8,FALSE),"")</f>
        <v>14838</v>
      </c>
      <c r="I277" s="257">
        <f>IFERROR(VLOOKUP($D277,'Planes y paquetes'!$C$661:$L$699,9,FALSE),"")</f>
        <v>44868</v>
      </c>
      <c r="J277" s="132">
        <f t="shared" si="44"/>
        <v>9.3459003507074621E-3</v>
      </c>
      <c r="K277" s="132">
        <f t="shared" si="45"/>
        <v>4.604303198927592E-3</v>
      </c>
      <c r="L277" s="258">
        <f>IFERROR(VLOOKUP($D277,'Planes y paquetes'!$C$391:$G$429,4,FALSE),"")</f>
        <v>244.01</v>
      </c>
      <c r="M277" s="258"/>
      <c r="AB277" s="261"/>
      <c r="AC277" s="261"/>
      <c r="AD277" s="261"/>
      <c r="AE277" s="261"/>
      <c r="AF277" s="261"/>
    </row>
    <row r="278" spans="2:38" x14ac:dyDescent="0.2">
      <c r="B278" s="145" t="str">
        <f t="shared" si="46"/>
        <v>Paquete 333Residencial</v>
      </c>
      <c r="C278" s="95">
        <f t="shared" ref="C278:C314" si="47">C277+1</f>
        <v>3</v>
      </c>
      <c r="D278" s="256" t="str">
        <v>Paquete 333</v>
      </c>
      <c r="E278" s="90" t="str">
        <f>IFERROR(VLOOKUP($D278,'Planes y paquetes'!$C$391:$E$429,2,FALSE),"")</f>
        <v>Residencial</v>
      </c>
      <c r="F278" s="90" t="str">
        <f>IFERROR(VLOOKUP($D278,'Planes y paquetes'!$C$391:$E$429,3,FALSE),"")</f>
        <v>Telefonía fija + Internet fijo</v>
      </c>
      <c r="G278" s="19" t="str">
        <f t="shared" si="43"/>
        <v>15 Mbps</v>
      </c>
      <c r="H278" s="257">
        <f>IFERROR(VLOOKUP($D278,'Planes y paquetes'!$C$661:$L$699,10,FALSE),"")+IFERROR(VLOOKUP($D278,'Planes y paquetes'!$C$661:$L$699,8,FALSE),"")</f>
        <v>13481</v>
      </c>
      <c r="I278" s="257">
        <f>IFERROR(VLOOKUP($D278,'Planes y paquetes'!$C$661:$L$699,9,FALSE),"")</f>
        <v>60148</v>
      </c>
      <c r="J278" s="132">
        <f t="shared" si="44"/>
        <v>8.4911768855564958E-3</v>
      </c>
      <c r="K278" s="132">
        <f t="shared" si="45"/>
        <v>6.17231944390427E-3</v>
      </c>
      <c r="L278" s="258">
        <f>IFERROR(VLOOKUP($D278,'Planes y paquetes'!$C$391:$G$429,4,FALSE),"")</f>
        <v>281.16000000000003</v>
      </c>
      <c r="M278" s="258"/>
    </row>
    <row r="279" spans="2:38" x14ac:dyDescent="0.2">
      <c r="B279" s="145" t="str">
        <f t="shared" si="46"/>
        <v>Paquete 389Residencial</v>
      </c>
      <c r="C279" s="95">
        <f t="shared" si="47"/>
        <v>4</v>
      </c>
      <c r="D279" s="256" t="str">
        <v>Paquete 389</v>
      </c>
      <c r="E279" s="90" t="str">
        <f>IFERROR(VLOOKUP($D279,'Planes y paquetes'!$C$391:$E$429,2,FALSE),"")</f>
        <v>Residencial</v>
      </c>
      <c r="F279" s="90" t="str">
        <f>IFERROR(VLOOKUP($D279,'Planes y paquetes'!$C$391:$E$429,3,FALSE),"")</f>
        <v>Telefonía fija + Internet fijo</v>
      </c>
      <c r="G279" s="19" t="str">
        <f t="shared" si="43"/>
        <v>80 Mbps</v>
      </c>
      <c r="H279" s="257">
        <f>IFERROR(VLOOKUP($D279,'Planes y paquetes'!$C$661:$L$699,10,FALSE),"")+IFERROR(VLOOKUP($D279,'Planes y paquetes'!$C$661:$L$699,8,FALSE),"")</f>
        <v>1046968</v>
      </c>
      <c r="I279" s="257">
        <f>IFERROR(VLOOKUP($D279,'Planes y paquetes'!$C$661:$L$699,9,FALSE),"")</f>
        <v>4416789</v>
      </c>
      <c r="J279" s="132">
        <f t="shared" si="44"/>
        <v>0.65944592252186884</v>
      </c>
      <c r="K279" s="132">
        <f t="shared" si="45"/>
        <v>0.45324587059124988</v>
      </c>
      <c r="L279" s="258">
        <f>IFERROR(VLOOKUP($D279,'Planes y paquetes'!$C$391:$G$429,4,FALSE),"")</f>
        <v>328.44</v>
      </c>
      <c r="M279" s="258"/>
    </row>
    <row r="280" spans="2:38" x14ac:dyDescent="0.2">
      <c r="B280" s="145" t="str">
        <f t="shared" si="46"/>
        <v>Paquete 435Residencial</v>
      </c>
      <c r="C280" s="95">
        <f t="shared" si="47"/>
        <v>5</v>
      </c>
      <c r="D280" s="256" t="str">
        <v>Paquete 435</v>
      </c>
      <c r="E280" s="90" t="str">
        <f>IFERROR(VLOOKUP($D280,'Planes y paquetes'!$C$391:$E$429,2,FALSE),"")</f>
        <v>Residencial</v>
      </c>
      <c r="F280" s="90" t="str">
        <f>IFERROR(VLOOKUP($D280,'Planes y paquetes'!$C$391:$E$429,3,FALSE),"")</f>
        <v>Telefonía fija + Internet fijo</v>
      </c>
      <c r="G280" s="19" t="str">
        <f t="shared" si="43"/>
        <v>100 Mbps</v>
      </c>
      <c r="H280" s="257">
        <f>IFERROR(VLOOKUP($D280,'Planes y paquetes'!$C$661:$L$699,10,FALSE),"")+IFERROR(VLOOKUP($D280,'Planes y paquetes'!$C$661:$L$699,8,FALSE),"")</f>
        <v>14683</v>
      </c>
      <c r="I280" s="257">
        <f>IFERROR(VLOOKUP($D280,'Planes y paquetes'!$C$661:$L$699,9,FALSE),"")</f>
        <v>292538</v>
      </c>
      <c r="J280" s="132">
        <f t="shared" si="44"/>
        <v>9.2482716571935346E-3</v>
      </c>
      <c r="K280" s="132">
        <f t="shared" si="45"/>
        <v>3.0019917295352586E-2</v>
      </c>
      <c r="L280" s="258">
        <f>IFERROR(VLOOKUP($D280,'Planes y paquetes'!$C$391:$G$429,4,FALSE),"")</f>
        <v>367.29</v>
      </c>
      <c r="M280" s="258"/>
    </row>
    <row r="281" spans="2:38" x14ac:dyDescent="0.2">
      <c r="B281" s="145" t="str">
        <f t="shared" si="46"/>
        <v>Paquete 499Residencial</v>
      </c>
      <c r="C281" s="95">
        <f t="shared" si="47"/>
        <v>6</v>
      </c>
      <c r="D281" s="256" t="str">
        <v>Paquete 499</v>
      </c>
      <c r="E281" s="90" t="str">
        <f>IFERROR(VLOOKUP($D281,'Planes y paquetes'!$C$391:$E$429,2,FALSE),"")</f>
        <v>Residencial</v>
      </c>
      <c r="F281" s="90" t="str">
        <f>IFERROR(VLOOKUP($D281,'Planes y paquetes'!$C$391:$E$429,3,FALSE),"")</f>
        <v>Telefonía fija + Internet fijo</v>
      </c>
      <c r="G281" s="19" t="str">
        <f t="shared" si="43"/>
        <v>150 Mbps</v>
      </c>
      <c r="H281" s="257">
        <f>IFERROR(VLOOKUP($D281,'Planes y paquetes'!$C$661:$L$699,10,FALSE),"")+IFERROR(VLOOKUP($D281,'Planes y paquetes'!$C$661:$L$699,8,FALSE),"")</f>
        <v>6874</v>
      </c>
      <c r="I281" s="257">
        <f>IFERROR(VLOOKUP($D281,'Planes y paquetes'!$C$661:$L$699,9,FALSE),"")</f>
        <v>397171</v>
      </c>
      <c r="J281" s="132">
        <f t="shared" si="44"/>
        <v>4.3296750917079857E-3</v>
      </c>
      <c r="K281" s="132">
        <f t="shared" si="45"/>
        <v>4.0757236913195834E-2</v>
      </c>
      <c r="L281" s="258">
        <f>IFERROR(VLOOKUP($D281,'Planes y paquetes'!$C$391:$G$429,4,FALSE),"")</f>
        <v>421.32</v>
      </c>
      <c r="M281" s="258"/>
    </row>
    <row r="282" spans="2:38" x14ac:dyDescent="0.2">
      <c r="B282" s="145" t="str">
        <f t="shared" si="46"/>
        <v>Paquete 599Residencial</v>
      </c>
      <c r="C282" s="95">
        <f t="shared" si="47"/>
        <v>7</v>
      </c>
      <c r="D282" s="256" t="str">
        <v>Paquete 599</v>
      </c>
      <c r="E282" s="90" t="str">
        <f>IFERROR(VLOOKUP($D282,'Planes y paquetes'!$C$391:$E$429,2,FALSE),"")</f>
        <v>Residencial</v>
      </c>
      <c r="F282" s="90" t="str">
        <f>IFERROR(VLOOKUP($D282,'Planes y paquetes'!$C$391:$E$429,3,FALSE),"")</f>
        <v>Telefonía fija + Internet fijo</v>
      </c>
      <c r="G282" s="19" t="str">
        <f t="shared" si="43"/>
        <v>250 Mbps</v>
      </c>
      <c r="H282" s="257">
        <f>IFERROR(VLOOKUP($D282,'Planes y paquetes'!$C$661:$L$699,10,FALSE),"")+IFERROR(VLOOKUP($D282,'Planes y paquetes'!$C$661:$L$699,8,FALSE),"")</f>
        <v>29814</v>
      </c>
      <c r="I282" s="257">
        <f>IFERROR(VLOOKUP($D282,'Planes y paquetes'!$C$661:$L$699,9,FALSE),"")</f>
        <v>332762</v>
      </c>
      <c r="J282" s="132">
        <f t="shared" si="44"/>
        <v>1.8778721731769258E-2</v>
      </c>
      <c r="K282" s="132">
        <f t="shared" si="45"/>
        <v>3.4147658488935174E-2</v>
      </c>
      <c r="L282" s="258">
        <f>IFERROR(VLOOKUP($D282,'Planes y paquetes'!$C$391:$G$429,4,FALSE),"")</f>
        <v>505.76</v>
      </c>
      <c r="M282" s="258"/>
    </row>
    <row r="283" spans="2:38" x14ac:dyDescent="0.2">
      <c r="B283" s="145" t="str">
        <f t="shared" si="46"/>
        <v>Paquete 649Residencial</v>
      </c>
      <c r="C283" s="95">
        <f t="shared" si="47"/>
        <v>8</v>
      </c>
      <c r="D283" s="256" t="str">
        <v>Paquete 649</v>
      </c>
      <c r="E283" s="90" t="str">
        <f>IFERROR(VLOOKUP($D283,'Planes y paquetes'!$C$391:$E$429,2,FALSE),"")</f>
        <v>Residencial</v>
      </c>
      <c r="F283" s="90" t="str">
        <f>IFERROR(VLOOKUP($D283,'Planes y paquetes'!$C$391:$E$429,3,FALSE),"")</f>
        <v>Telefonía fija + Internet fijo</v>
      </c>
      <c r="G283" s="19" t="str">
        <f t="shared" si="43"/>
        <v>350 Mbps</v>
      </c>
      <c r="H283" s="257">
        <f>IFERROR(VLOOKUP($D283,'Planes y paquetes'!$C$661:$L$699,10,FALSE),"")+IFERROR(VLOOKUP($D283,'Planes y paquetes'!$C$661:$L$699,8,FALSE),"")</f>
        <v>72</v>
      </c>
      <c r="I283" s="257">
        <f>IFERROR(VLOOKUP($D283,'Planes y paquetes'!$C$661:$L$699,9,FALSE),"")</f>
        <v>272670</v>
      </c>
      <c r="J283" s="132">
        <f t="shared" si="44"/>
        <v>4.5350102793566334E-5</v>
      </c>
      <c r="K283" s="132">
        <f t="shared" si="45"/>
        <v>2.7981085701426104E-2</v>
      </c>
      <c r="L283" s="258">
        <f>IFERROR(VLOOKUP($D283,'Planes y paquetes'!$C$391:$G$429,4,FALSE),"")</f>
        <v>547.98</v>
      </c>
      <c r="M283" s="258"/>
    </row>
    <row r="284" spans="2:38" x14ac:dyDescent="0.2">
      <c r="B284" s="145" t="str">
        <f t="shared" si="46"/>
        <v>Paquetre 725Residencial</v>
      </c>
      <c r="C284" s="95">
        <f t="shared" si="47"/>
        <v>9</v>
      </c>
      <c r="D284" s="256" t="str">
        <v>Paquetre 725</v>
      </c>
      <c r="E284" s="90" t="str">
        <f>IFERROR(VLOOKUP($D284,'Planes y paquetes'!$C$391:$E$429,2,FALSE),"")</f>
        <v>Residencial</v>
      </c>
      <c r="F284" s="90" t="str">
        <f>IFERROR(VLOOKUP($D284,'Planes y paquetes'!$C$391:$E$429,3,FALSE),"")</f>
        <v>Telefonía fija + Internet fijo</v>
      </c>
      <c r="G284" s="19" t="str">
        <f t="shared" si="43"/>
        <v>500 Mbps</v>
      </c>
      <c r="H284" s="257">
        <f>IFERROR(VLOOKUP($D284,'Planes y paquetes'!$C$661:$L$699,10,FALSE),"")+IFERROR(VLOOKUP($D284,'Planes y paquetes'!$C$661:$L$699,8,FALSE),"")</f>
        <v>49</v>
      </c>
      <c r="I284" s="257">
        <f>IFERROR(VLOOKUP($D284,'Planes y paquetes'!$C$661:$L$699,9,FALSE),"")</f>
        <v>16903</v>
      </c>
      <c r="J284" s="132">
        <f t="shared" si="44"/>
        <v>3.0863264401177085E-5</v>
      </c>
      <c r="K284" s="132">
        <f t="shared" si="45"/>
        <v>1.7345666615733505E-3</v>
      </c>
      <c r="L284" s="258">
        <f>IFERROR(VLOOKUP($D284,'Planes y paquetes'!$C$391:$G$429,4,FALSE),"")</f>
        <v>612.14</v>
      </c>
      <c r="M284" s="258"/>
    </row>
    <row r="285" spans="2:38" x14ac:dyDescent="0.2">
      <c r="B285" s="145" t="str">
        <f t="shared" si="46"/>
        <v>Paquete Infinitum 999Residencial</v>
      </c>
      <c r="C285" s="95">
        <f t="shared" si="47"/>
        <v>10</v>
      </c>
      <c r="D285" s="256" t="str">
        <v>Paquete Infinitum 999</v>
      </c>
      <c r="E285" s="90" t="str">
        <f>IFERROR(VLOOKUP($D285,'Planes y paquetes'!$C$391:$E$429,2,FALSE),"")</f>
        <v>Residencial</v>
      </c>
      <c r="F285" s="90" t="str">
        <f>IFERROR(VLOOKUP($D285,'Planes y paquetes'!$C$391:$E$429,3,FALSE),"")</f>
        <v>Telefonía fija + Internet fijo</v>
      </c>
      <c r="G285" s="19" t="str">
        <f t="shared" si="43"/>
        <v>750 Mbps</v>
      </c>
      <c r="H285" s="257">
        <f>IFERROR(VLOOKUP($D285,'Planes y paquetes'!$C$661:$L$699,10,FALSE),"")+IFERROR(VLOOKUP($D285,'Planes y paquetes'!$C$661:$L$699,8,FALSE),"")</f>
        <v>1008</v>
      </c>
      <c r="I285" s="257">
        <f>IFERROR(VLOOKUP($D285,'Planes y paquetes'!$C$661:$L$699,9,FALSE),"")</f>
        <v>60087</v>
      </c>
      <c r="J285" s="132">
        <f t="shared" si="44"/>
        <v>6.3490143910992865E-4</v>
      </c>
      <c r="K285" s="132">
        <f t="shared" si="45"/>
        <v>6.1660596931880675E-3</v>
      </c>
      <c r="L285" s="258">
        <f>IFERROR(VLOOKUP($D285,'Planes y paquetes'!$C$391:$G$429,4,FALSE),"")</f>
        <v>843.5</v>
      </c>
      <c r="M285" s="258"/>
    </row>
    <row r="286" spans="2:38" x14ac:dyDescent="0.2">
      <c r="B286" s="145" t="str">
        <f t="shared" si="46"/>
        <v>Paquete 1399Residencial</v>
      </c>
      <c r="C286" s="95">
        <f t="shared" si="47"/>
        <v>11</v>
      </c>
      <c r="D286" s="256" t="str">
        <v>Paquete 1399</v>
      </c>
      <c r="E286" s="90" t="str">
        <f>IFERROR(VLOOKUP($D286,'Planes y paquetes'!$C$391:$E$429,2,FALSE),"")</f>
        <v>Residencial</v>
      </c>
      <c r="F286" s="90" t="str">
        <f>IFERROR(VLOOKUP($D286,'Planes y paquetes'!$C$391:$E$429,3,FALSE),"")</f>
        <v>Telefonía fija + Internet fijo</v>
      </c>
      <c r="G286" s="19" t="str">
        <f t="shared" si="43"/>
        <v>1000 Mbps</v>
      </c>
      <c r="H286" s="257">
        <f>IFERROR(VLOOKUP($D286,'Planes y paquetes'!$C$661:$L$699,10,FALSE),"")+IFERROR(VLOOKUP($D286,'Planes y paquetes'!$C$661:$L$699,8,FALSE),"")</f>
        <v>26</v>
      </c>
      <c r="I286" s="257">
        <f>IFERROR(VLOOKUP($D286,'Planes y paquetes'!$C$661:$L$699,9,FALSE),"")</f>
        <v>22174</v>
      </c>
      <c r="J286" s="132">
        <f t="shared" si="44"/>
        <v>1.6376426008787841E-5</v>
      </c>
      <c r="K286" s="132">
        <f t="shared" si="45"/>
        <v>2.2754706947717843E-3</v>
      </c>
      <c r="L286" s="258">
        <f>IFERROR(VLOOKUP($D286,'Planes y paquetes'!$C$391:$G$429,4,FALSE),"")</f>
        <v>1181.23</v>
      </c>
      <c r="M286" s="258"/>
    </row>
    <row r="287" spans="2:38" x14ac:dyDescent="0.2">
      <c r="B287" s="145" t="str">
        <f t="shared" si="46"/>
        <v>Infinitum 279Residencial</v>
      </c>
      <c r="C287" s="95">
        <f t="shared" si="47"/>
        <v>12</v>
      </c>
      <c r="D287" s="256" t="str">
        <v>Infinitum 279</v>
      </c>
      <c r="E287" s="90" t="str">
        <f>IFERROR(VLOOKUP($D287,'Planes y paquetes'!$C$391:$E$429,2,FALSE),"")</f>
        <v>Residencial</v>
      </c>
      <c r="F287" s="90" t="str">
        <f>IFERROR(VLOOKUP($D287,'Planes y paquetes'!$C$391:$E$429,3,FALSE),"")</f>
        <v>Internet fijo</v>
      </c>
      <c r="G287" s="19" t="str">
        <f t="shared" si="43"/>
        <v>30 Mbps</v>
      </c>
      <c r="H287" s="257">
        <f>IFERROR(VLOOKUP($D287,'Planes y paquetes'!$C$661:$L$699,10,FALSE),"")+IFERROR(VLOOKUP($D287,'Planes y paquetes'!$C$661:$L$699,8,FALSE),"")</f>
        <v>3952</v>
      </c>
      <c r="I287" s="257">
        <f>IFERROR(VLOOKUP($D287,'Planes y paquetes'!$C$661:$L$699,9,FALSE),"")</f>
        <v>15281</v>
      </c>
      <c r="J287" s="132">
        <f t="shared" si="44"/>
        <v>2.4892167533357521E-3</v>
      </c>
      <c r="K287" s="132">
        <f t="shared" si="45"/>
        <v>1.5681188638408785E-3</v>
      </c>
      <c r="L287" s="258">
        <f>IFERROR(VLOOKUP($D287,'Planes y paquetes'!$C$391:$G$429,4,FALSE),"")</f>
        <v>240.52</v>
      </c>
      <c r="M287" s="258"/>
    </row>
    <row r="288" spans="2:38" x14ac:dyDescent="0.2">
      <c r="B288" s="145" t="str">
        <f t="shared" si="46"/>
        <v>Infinitum 299 RResidencial</v>
      </c>
      <c r="C288" s="95">
        <f t="shared" si="47"/>
        <v>13</v>
      </c>
      <c r="D288" s="256" t="str">
        <v>Infinitum 299 R</v>
      </c>
      <c r="E288" s="90" t="str">
        <f>IFERROR(VLOOKUP($D288,'Planes y paquetes'!$C$391:$E$429,2,FALSE),"")</f>
        <v>Residencial</v>
      </c>
      <c r="F288" s="90" t="str">
        <f>IFERROR(VLOOKUP($D288,'Planes y paquetes'!$C$391:$E$429,3,FALSE),"")</f>
        <v>Internet fijo</v>
      </c>
      <c r="G288" s="19" t="str">
        <f t="shared" si="43"/>
        <v>40 Mbps</v>
      </c>
      <c r="H288" s="257">
        <f>IFERROR(VLOOKUP($D288,'Planes y paquetes'!$C$661:$L$699,10,FALSE),"")+IFERROR(VLOOKUP($D288,'Planes y paquetes'!$C$661:$L$699,8,FALSE),"")</f>
        <v>33</v>
      </c>
      <c r="I288" s="257">
        <f>IFERROR(VLOOKUP($D288,'Planes y paquetes'!$C$661:$L$699,9,FALSE),"")</f>
        <v>201</v>
      </c>
      <c r="J288" s="132">
        <f t="shared" si="44"/>
        <v>2.0785463780384568E-5</v>
      </c>
      <c r="K288" s="132">
        <f t="shared" si="45"/>
        <v>2.0626391704208923E-5</v>
      </c>
      <c r="L288" s="258">
        <f>IFERROR(VLOOKUP($D288,'Planes y paquetes'!$C$391:$G$429,4,FALSE),"")</f>
        <v>257.76</v>
      </c>
      <c r="M288" s="258"/>
    </row>
    <row r="289" spans="2:13" x14ac:dyDescent="0.2">
      <c r="B289" s="145" t="str">
        <f t="shared" si="46"/>
        <v>Infinitum 349Residencial</v>
      </c>
      <c r="C289" s="95">
        <f t="shared" si="47"/>
        <v>14</v>
      </c>
      <c r="D289" s="256" t="str">
        <v>Infinitum 349</v>
      </c>
      <c r="E289" s="90" t="str">
        <f>IFERROR(VLOOKUP($D289,'Planes y paquetes'!$C$391:$E$429,2,FALSE),"")</f>
        <v>Residencial</v>
      </c>
      <c r="F289" s="90" t="str">
        <f>IFERROR(VLOOKUP($D289,'Planes y paquetes'!$C$391:$E$429,3,FALSE),"")</f>
        <v>Internet fijo</v>
      </c>
      <c r="G289" s="19" t="str">
        <f t="shared" si="43"/>
        <v>80 Mbps</v>
      </c>
      <c r="H289" s="257">
        <f>IFERROR(VLOOKUP($D289,'Planes y paquetes'!$C$661:$L$699,10,FALSE),"")+IFERROR(VLOOKUP($D289,'Planes y paquetes'!$C$661:$L$699,8,FALSE),"")</f>
        <v>214789</v>
      </c>
      <c r="I289" s="257">
        <f>IFERROR(VLOOKUP($D289,'Planes y paquetes'!$C$661:$L$699,9,FALSE),"")</f>
        <v>1557184</v>
      </c>
      <c r="J289" s="132">
        <f t="shared" si="44"/>
        <v>0.13528754484621278</v>
      </c>
      <c r="K289" s="132">
        <f t="shared" si="45"/>
        <v>0.15979645343048193</v>
      </c>
      <c r="L289" s="258">
        <f>IFERROR(VLOOKUP($D289,'Planes y paquetes'!$C$391:$G$429,4,FALSE),"")</f>
        <v>300.86</v>
      </c>
      <c r="M289" s="258"/>
    </row>
    <row r="290" spans="2:13" x14ac:dyDescent="0.2">
      <c r="B290" s="145" t="str">
        <f t="shared" si="46"/>
        <v>Infinitum 399Residencial</v>
      </c>
      <c r="C290" s="95">
        <f t="shared" si="47"/>
        <v>15</v>
      </c>
      <c r="D290" s="256" t="str">
        <v>Infinitum 399</v>
      </c>
      <c r="E290" s="90" t="str">
        <f>IFERROR(VLOOKUP($D290,'Planes y paquetes'!$C$391:$E$429,2,FALSE),"")</f>
        <v>Residencial</v>
      </c>
      <c r="F290" s="90" t="str">
        <f>IFERROR(VLOOKUP($D290,'Planes y paquetes'!$C$391:$E$429,3,FALSE),"")</f>
        <v>Internet fijo</v>
      </c>
      <c r="G290" s="19" t="str">
        <f t="shared" si="43"/>
        <v>100 Mbps</v>
      </c>
      <c r="H290" s="257">
        <f>IFERROR(VLOOKUP($D290,'Planes y paquetes'!$C$661:$L$699,10,FALSE),"")+IFERROR(VLOOKUP($D290,'Planes y paquetes'!$C$661:$L$699,8,FALSE),"")</f>
        <v>8409</v>
      </c>
      <c r="I290" s="257">
        <f>IFERROR(VLOOKUP($D290,'Planes y paquetes'!$C$661:$L$699,9,FALSE),"")</f>
        <v>347782</v>
      </c>
      <c r="J290" s="132">
        <f t="shared" si="44"/>
        <v>5.2965140887652681E-3</v>
      </c>
      <c r="K290" s="132">
        <f t="shared" si="45"/>
        <v>3.5688993829219841E-2</v>
      </c>
      <c r="L290" s="258">
        <f>IFERROR(VLOOKUP($D290,'Planes y paquetes'!$C$391:$G$429,4,FALSE),"")</f>
        <v>343.97</v>
      </c>
      <c r="M290" s="258"/>
    </row>
    <row r="291" spans="2:13" x14ac:dyDescent="0.2">
      <c r="B291" s="145" t="str">
        <f t="shared" si="46"/>
        <v>Infinitum 449Residencial</v>
      </c>
      <c r="C291" s="95">
        <f t="shared" si="47"/>
        <v>16</v>
      </c>
      <c r="D291" s="256" t="str">
        <v>Infinitum 449</v>
      </c>
      <c r="E291" s="90" t="str">
        <f>IFERROR(VLOOKUP($D291,'Planes y paquetes'!$C$391:$E$429,2,FALSE),"")</f>
        <v>Residencial</v>
      </c>
      <c r="F291" s="90" t="str">
        <f>IFERROR(VLOOKUP($D291,'Planes y paquetes'!$C$391:$E$429,3,FALSE),"")</f>
        <v>Internet fijo</v>
      </c>
      <c r="G291" s="19" t="str">
        <f t="shared" si="43"/>
        <v>150 Mbps</v>
      </c>
      <c r="H291" s="257">
        <f>IFERROR(VLOOKUP($D291,'Planes y paquetes'!$C$661:$L$699,10,FALSE),"")+IFERROR(VLOOKUP($D291,'Planes y paquetes'!$C$661:$L$699,8,FALSE),"")</f>
        <v>365</v>
      </c>
      <c r="I291" s="257">
        <f>IFERROR(VLOOKUP($D291,'Planes y paquetes'!$C$661:$L$699,9,FALSE),"")</f>
        <v>159143</v>
      </c>
      <c r="J291" s="132">
        <f t="shared" si="44"/>
        <v>2.2989982666182931E-4</v>
      </c>
      <c r="K291" s="132">
        <f t="shared" si="45"/>
        <v>1.6331073905387666E-2</v>
      </c>
      <c r="L291" s="258">
        <f>IFERROR(VLOOKUP($D291,'Planes y paquetes'!$C$391:$G$429,4,FALSE),"")</f>
        <v>387.07</v>
      </c>
      <c r="M291" s="258"/>
    </row>
    <row r="292" spans="2:13" x14ac:dyDescent="0.2">
      <c r="B292" s="145" t="str">
        <f t="shared" si="46"/>
        <v>Infinitum 499Residencial</v>
      </c>
      <c r="C292" s="95">
        <f t="shared" si="47"/>
        <v>17</v>
      </c>
      <c r="D292" s="256" t="str">
        <v>Infinitum 499</v>
      </c>
      <c r="E292" s="90" t="str">
        <f>IFERROR(VLOOKUP($D292,'Planes y paquetes'!$C$391:$E$429,2,FALSE),"")</f>
        <v>Residencial</v>
      </c>
      <c r="F292" s="90" t="str">
        <f>IFERROR(VLOOKUP($D292,'Planes y paquetes'!$C$391:$E$429,3,FALSE),"")</f>
        <v>Internet fijo</v>
      </c>
      <c r="G292" s="19" t="str">
        <f t="shared" si="43"/>
        <v>250 Mbps</v>
      </c>
      <c r="H292" s="257">
        <f>IFERROR(VLOOKUP($D292,'Planes y paquetes'!$C$661:$L$699,10,FALSE),"")+IFERROR(VLOOKUP($D292,'Planes y paquetes'!$C$661:$L$699,8,FALSE),"")</f>
        <v>51</v>
      </c>
      <c r="I292" s="257">
        <f>IFERROR(VLOOKUP($D292,'Planes y paquetes'!$C$661:$L$699,9,FALSE),"")</f>
        <v>19805</v>
      </c>
      <c r="J292" s="132">
        <f t="shared" si="44"/>
        <v>3.2122989478776151E-5</v>
      </c>
      <c r="K292" s="132">
        <f t="shared" si="45"/>
        <v>2.0323666054818793E-3</v>
      </c>
      <c r="L292" s="258">
        <f>IFERROR(VLOOKUP($D292,'Planes y paquetes'!$C$391:$G$429,4,FALSE),"")</f>
        <v>430.17</v>
      </c>
      <c r="M292" s="258"/>
    </row>
    <row r="293" spans="2:13" x14ac:dyDescent="0.2">
      <c r="B293" s="145" t="str">
        <f t="shared" si="46"/>
        <v>Infinitum 549Residencial</v>
      </c>
      <c r="C293" s="95">
        <f t="shared" si="47"/>
        <v>18</v>
      </c>
      <c r="D293" s="256" t="str">
        <v>Infinitum 549</v>
      </c>
      <c r="E293" s="90" t="str">
        <f>IFERROR(VLOOKUP($D293,'Planes y paquetes'!$C$391:$E$429,2,FALSE),"")</f>
        <v>Residencial</v>
      </c>
      <c r="F293" s="90" t="str">
        <f>IFERROR(VLOOKUP($D293,'Planes y paquetes'!$C$391:$E$429,3,FALSE),"")</f>
        <v>Internet fijo</v>
      </c>
      <c r="G293" s="19" t="str">
        <f t="shared" si="43"/>
        <v>350 Mbps</v>
      </c>
      <c r="H293" s="257">
        <f>IFERROR(VLOOKUP($D293,'Planes y paquetes'!$C$661:$L$699,10,FALSE),"")+IFERROR(VLOOKUP($D293,'Planes y paquetes'!$C$661:$L$699,8,FALSE),"")</f>
        <v>446</v>
      </c>
      <c r="I293" s="257">
        <f>IFERROR(VLOOKUP($D293,'Planes y paquetes'!$C$661:$L$699,9,FALSE),"")</f>
        <v>231099</v>
      </c>
      <c r="J293" s="132">
        <f t="shared" si="44"/>
        <v>2.8091869230459143E-4</v>
      </c>
      <c r="K293" s="132">
        <f t="shared" si="45"/>
        <v>2.3715116897766061E-2</v>
      </c>
      <c r="L293" s="258">
        <f>IFERROR(VLOOKUP($D293,'Planes y paquetes'!$C$391:$G$429,4,FALSE),"")</f>
        <v>473.28</v>
      </c>
      <c r="M293" s="258"/>
    </row>
    <row r="294" spans="2:13" x14ac:dyDescent="0.2">
      <c r="B294" s="145" t="str">
        <f t="shared" si="46"/>
        <v>Infinitum 649Residencial</v>
      </c>
      <c r="C294" s="95">
        <f t="shared" si="47"/>
        <v>19</v>
      </c>
      <c r="D294" s="256" t="str">
        <v>Infinitum 649</v>
      </c>
      <c r="E294" s="90" t="str">
        <f>IFERROR(VLOOKUP($D294,'Planes y paquetes'!$C$391:$E$429,2,FALSE),"")</f>
        <v>Residencial</v>
      </c>
      <c r="F294" s="90" t="str">
        <f>IFERROR(VLOOKUP($D294,'Planes y paquetes'!$C$391:$E$429,3,FALSE),"")</f>
        <v>Internet fijo</v>
      </c>
      <c r="G294" s="19" t="str">
        <f t="shared" si="43"/>
        <v>500 Mbps</v>
      </c>
      <c r="H294" s="257">
        <f>IFERROR(VLOOKUP($D294,'Planes y paquetes'!$C$661:$L$699,10,FALSE),"")+IFERROR(VLOOKUP($D294,'Planes y paquetes'!$C$661:$L$699,8,FALSE),"")</f>
        <v>62</v>
      </c>
      <c r="I294" s="257">
        <f>IFERROR(VLOOKUP($D294,'Planes y paquetes'!$C$661:$L$699,9,FALSE),"")</f>
        <v>21151</v>
      </c>
      <c r="J294" s="132">
        <f t="shared" si="44"/>
        <v>3.9051477405571011E-5</v>
      </c>
      <c r="K294" s="132">
        <f t="shared" si="45"/>
        <v>2.1704915966951391E-3</v>
      </c>
      <c r="L294" s="258">
        <f>IFERROR(VLOOKUP($D294,'Planes y paquetes'!$C$391:$G$429,4,FALSE),"")</f>
        <v>559.48</v>
      </c>
      <c r="M294" s="258"/>
    </row>
    <row r="295" spans="2:13" x14ac:dyDescent="0.2">
      <c r="B295" s="145" t="str">
        <f t="shared" si="46"/>
        <v>Infinitum 899Residencial</v>
      </c>
      <c r="C295" s="95">
        <f t="shared" si="47"/>
        <v>20</v>
      </c>
      <c r="D295" s="256" t="str">
        <v>Infinitum 899</v>
      </c>
      <c r="E295" s="90" t="str">
        <f>IFERROR(VLOOKUP($D295,'Planes y paquetes'!$C$391:$E$429,2,FALSE),"")</f>
        <v>Residencial</v>
      </c>
      <c r="F295" s="90" t="str">
        <f>IFERROR(VLOOKUP($D295,'Planes y paquetes'!$C$391:$E$429,3,FALSE),"")</f>
        <v>Internet fijo</v>
      </c>
      <c r="G295" s="19" t="str">
        <f t="shared" si="43"/>
        <v>750 Mbps</v>
      </c>
      <c r="H295" s="257">
        <f>IFERROR(VLOOKUP($D295,'Planes y paquetes'!$C$661:$L$699,10,FALSE),"")+IFERROR(VLOOKUP($D295,'Planes y paquetes'!$C$661:$L$699,8,FALSE),"")</f>
        <v>31</v>
      </c>
      <c r="I295" s="257">
        <f>IFERROR(VLOOKUP($D295,'Planes y paquetes'!$C$661:$L$699,9,FALSE),"")</f>
        <v>18396</v>
      </c>
      <c r="J295" s="132">
        <f t="shared" si="44"/>
        <v>1.9525738702785505E-5</v>
      </c>
      <c r="K295" s="132">
        <f t="shared" si="45"/>
        <v>1.8877766258240166E-3</v>
      </c>
      <c r="L295" s="258">
        <f>IFERROR(VLOOKUP($D295,'Planes y paquetes'!$C$391:$G$429,4,FALSE),"")</f>
        <v>775</v>
      </c>
      <c r="M295" s="258"/>
    </row>
    <row r="296" spans="2:13" x14ac:dyDescent="0.2">
      <c r="B296" s="145" t="str">
        <f t="shared" si="46"/>
        <v>Paquete Conectes NegocioNo residencial</v>
      </c>
      <c r="C296" s="95">
        <f t="shared" si="47"/>
        <v>21</v>
      </c>
      <c r="D296" s="256" t="str">
        <v>Paquete Conectes Negocio</v>
      </c>
      <c r="E296" s="90" t="str">
        <f>IFERROR(VLOOKUP($D296,'Planes y paquetes'!$C$391:$E$429,2,FALSE),"")</f>
        <v>No residencial</v>
      </c>
      <c r="F296" s="90" t="str">
        <f>IFERROR(VLOOKUP($D296,'Planes y paquetes'!$C$391:$E$429,3,FALSE),"")</f>
        <v>Telefonía fija + Internet fijo</v>
      </c>
      <c r="G296" s="19" t="str">
        <f t="shared" si="43"/>
        <v>80 Mbps</v>
      </c>
      <c r="H296" s="257">
        <f>IFERROR(VLOOKUP($D296,'Planes y paquetes'!$C$661:$L$699,10,FALSE),"")+IFERROR(VLOOKUP($D296,'Planes y paquetes'!$C$661:$L$699,8,FALSE),"")</f>
        <v>100143</v>
      </c>
      <c r="I296" s="257">
        <f>IFERROR(VLOOKUP($D296,'Planes y paquetes'!$C$661:$L$699,9,FALSE),"")</f>
        <v>412344</v>
      </c>
      <c r="J296" s="132">
        <f t="shared" si="44"/>
        <v>6.3076324223001579E-2</v>
      </c>
      <c r="K296" s="132">
        <f t="shared" si="45"/>
        <v>4.2314272939703107E-2</v>
      </c>
      <c r="L296" s="258">
        <f>IFERROR(VLOOKUP($D296,'Planes y paquetes'!$C$391:$G$429,4,FALSE),"")</f>
        <v>336.9</v>
      </c>
      <c r="M296" s="258"/>
    </row>
    <row r="297" spans="2:13" x14ac:dyDescent="0.2">
      <c r="B297" s="145" t="str">
        <f t="shared" si="46"/>
        <v>Paquete Mi NegocioNo residencial</v>
      </c>
      <c r="C297" s="95">
        <f t="shared" si="47"/>
        <v>22</v>
      </c>
      <c r="D297" s="256" t="str">
        <v>Paquete Mi Negocio</v>
      </c>
      <c r="E297" s="90" t="str">
        <f>IFERROR(VLOOKUP($D297,'Planes y paquetes'!$C$391:$E$429,2,FALSE),"")</f>
        <v>No residencial</v>
      </c>
      <c r="F297" s="90" t="str">
        <f>IFERROR(VLOOKUP($D297,'Planes y paquetes'!$C$391:$E$429,3,FALSE),"")</f>
        <v>Telefonía fija + Internet fijo</v>
      </c>
      <c r="G297" s="19" t="str">
        <f t="shared" si="43"/>
        <v>150 Mbps</v>
      </c>
      <c r="H297" s="257">
        <f>IFERROR(VLOOKUP($D297,'Planes y paquetes'!$C$661:$L$699,10,FALSE),"")+IFERROR(VLOOKUP($D297,'Planes y paquetes'!$C$661:$L$699,8,FALSE),"")</f>
        <v>42398</v>
      </c>
      <c r="I297" s="257">
        <f>IFERROR(VLOOKUP($D297,'Planes y paquetes'!$C$661:$L$699,9,FALSE),"")</f>
        <v>329319</v>
      </c>
      <c r="J297" s="132">
        <f t="shared" si="44"/>
        <v>2.6704911920022573E-2</v>
      </c>
      <c r="K297" s="132">
        <f t="shared" si="45"/>
        <v>3.3794341739494423E-2</v>
      </c>
      <c r="L297" s="258">
        <f>IFERROR(VLOOKUP($D297,'Planes y paquetes'!$C$391:$G$429,4,FALSE),"")</f>
        <v>463.55</v>
      </c>
      <c r="M297" s="258"/>
    </row>
    <row r="298" spans="2:13" x14ac:dyDescent="0.2">
      <c r="B298" s="145" t="str">
        <f t="shared" si="46"/>
        <v>Paquete Negocio 649No residencial</v>
      </c>
      <c r="C298" s="95">
        <f t="shared" si="47"/>
        <v>23</v>
      </c>
      <c r="D298" s="256" t="str">
        <v>Paquete Negocio 649</v>
      </c>
      <c r="E298" s="90" t="str">
        <f>IFERROR(VLOOKUP($D298,'Planes y paquetes'!$C$391:$E$429,2,FALSE),"")</f>
        <v>No residencial</v>
      </c>
      <c r="F298" s="90" t="str">
        <f>IFERROR(VLOOKUP($D298,'Planes y paquetes'!$C$391:$E$429,3,FALSE),"")</f>
        <v>Telefonía fija + Internet fijo</v>
      </c>
      <c r="G298" s="19" t="str">
        <f t="shared" si="43"/>
        <v>250 Mbps</v>
      </c>
      <c r="H298" s="257">
        <f>IFERROR(VLOOKUP($D298,'Planes y paquetes'!$C$661:$L$699,10,FALSE),"")+IFERROR(VLOOKUP($D298,'Planes y paquetes'!$C$661:$L$699,8,FALSE),"")</f>
        <v>405</v>
      </c>
      <c r="I298" s="257">
        <f>IFERROR(VLOOKUP($D298,'Planes y paquetes'!$C$661:$L$699,9,FALSE),"")</f>
        <v>39530</v>
      </c>
      <c r="J298" s="132">
        <f t="shared" si="44"/>
        <v>2.550943282138106E-4</v>
      </c>
      <c r="K298" s="132">
        <f t="shared" si="45"/>
        <v>4.056523701827755E-3</v>
      </c>
      <c r="L298" s="258">
        <f>IFERROR(VLOOKUP($D298,'Planes y paquetes'!$C$391:$G$429,4,FALSE),"")</f>
        <v>547.98</v>
      </c>
      <c r="M298" s="258"/>
    </row>
    <row r="299" spans="2:13" x14ac:dyDescent="0.2">
      <c r="B299" s="145" t="str">
        <f t="shared" si="46"/>
        <v>Paquete SupernegocioNo residencial</v>
      </c>
      <c r="C299" s="95">
        <f t="shared" si="47"/>
        <v>24</v>
      </c>
      <c r="D299" s="256" t="str">
        <v>Paquete Supernegocio</v>
      </c>
      <c r="E299" s="90" t="str">
        <f>IFERROR(VLOOKUP($D299,'Planes y paquetes'!$C$391:$E$429,2,FALSE),"")</f>
        <v>No residencial</v>
      </c>
      <c r="F299" s="90" t="str">
        <f>IFERROR(VLOOKUP($D299,'Planes y paquetes'!$C$391:$E$429,3,FALSE),"")</f>
        <v>Telefonía fija + Internet fijo</v>
      </c>
      <c r="G299" s="19" t="str">
        <f t="shared" si="43"/>
        <v>350 Mbps</v>
      </c>
      <c r="H299" s="257">
        <f>IFERROR(VLOOKUP($D299,'Planes y paquetes'!$C$661:$L$699,10,FALSE),"")+IFERROR(VLOOKUP($D299,'Planes y paquetes'!$C$661:$L$699,8,FALSE),"")</f>
        <v>17218</v>
      </c>
      <c r="I299" s="257">
        <f>IFERROR(VLOOKUP($D299,'Planes y paquetes'!$C$661:$L$699,9,FALSE),"")</f>
        <v>217685</v>
      </c>
      <c r="J299" s="132">
        <f t="shared" si="44"/>
        <v>1.0844973193050349E-2</v>
      </c>
      <c r="K299" s="132">
        <f t="shared" si="45"/>
        <v>2.2338587453386665E-2</v>
      </c>
      <c r="L299" s="258">
        <f>IFERROR(VLOOKUP($D299,'Planes y paquetes'!$C$391:$G$429,4,FALSE),"")</f>
        <v>674.64</v>
      </c>
      <c r="M299" s="258"/>
    </row>
    <row r="300" spans="2:13" x14ac:dyDescent="0.2">
      <c r="B300" s="145" t="str">
        <f t="shared" si="46"/>
        <v>Paquete Negocio 999No residencial</v>
      </c>
      <c r="C300" s="95">
        <f t="shared" si="47"/>
        <v>25</v>
      </c>
      <c r="D300" s="256" t="str">
        <v>Paquete Negocio 999</v>
      </c>
      <c r="E300" s="90" t="str">
        <f>IFERROR(VLOOKUP($D300,'Planes y paquetes'!$C$391:$E$429,2,FALSE),"")</f>
        <v>No residencial</v>
      </c>
      <c r="F300" s="90" t="str">
        <f>IFERROR(VLOOKUP($D300,'Planes y paquetes'!$C$391:$E$429,3,FALSE),"")</f>
        <v>Telefonía fija + Internet fijo</v>
      </c>
      <c r="G300" s="19" t="str">
        <f t="shared" si="43"/>
        <v>500 Mbps</v>
      </c>
      <c r="H300" s="257">
        <f>IFERROR(VLOOKUP($D300,'Planes y paquetes'!$C$661:$L$699,10,FALSE),"")+IFERROR(VLOOKUP($D300,'Planes y paquetes'!$C$661:$L$699,8,FALSE),"")</f>
        <v>74</v>
      </c>
      <c r="I300" s="257">
        <f>IFERROR(VLOOKUP($D300,'Planes y paquetes'!$C$661:$L$699,9,FALSE),"")</f>
        <v>10969</v>
      </c>
      <c r="J300" s="132">
        <f t="shared" si="44"/>
        <v>4.66098278711654E-5</v>
      </c>
      <c r="K300" s="132">
        <f t="shared" si="45"/>
        <v>1.1256263214102869E-3</v>
      </c>
      <c r="L300" s="258">
        <f>IFERROR(VLOOKUP($D300,'Planes y paquetes'!$C$391:$G$429,4,FALSE),"")</f>
        <v>843.5</v>
      </c>
      <c r="M300" s="258"/>
    </row>
    <row r="301" spans="2:13" x14ac:dyDescent="0.2">
      <c r="B301" s="145" t="str">
        <f t="shared" si="46"/>
        <v>Paquete Telmex Negocio Ilimitado 1No residencial</v>
      </c>
      <c r="C301" s="95">
        <f t="shared" si="47"/>
        <v>26</v>
      </c>
      <c r="D301" s="256" t="str">
        <v>Paquete Telmex Negocio Ilimitado 1</v>
      </c>
      <c r="E301" s="90" t="str">
        <f>IFERROR(VLOOKUP($D301,'Planes y paquetes'!$C$391:$E$429,2,FALSE),"")</f>
        <v>No residencial</v>
      </c>
      <c r="F301" s="90" t="str">
        <f>IFERROR(VLOOKUP($D301,'Planes y paquetes'!$C$391:$E$429,3,FALSE),"")</f>
        <v>Telefonía fija + Internet fijo</v>
      </c>
      <c r="G301" s="19" t="str">
        <f t="shared" si="43"/>
        <v>750 Mbps</v>
      </c>
      <c r="H301" s="257">
        <f>IFERROR(VLOOKUP($D301,'Planes y paquetes'!$C$661:$L$699,10,FALSE),"")+IFERROR(VLOOKUP($D301,'Planes y paquetes'!$C$661:$L$699,8,FALSE),"")</f>
        <v>3283</v>
      </c>
      <c r="I301" s="257">
        <f>IFERROR(VLOOKUP($D301,'Planes y paquetes'!$C$661:$L$699,9,FALSE),"")</f>
        <v>36566</v>
      </c>
      <c r="J301" s="132">
        <f t="shared" si="44"/>
        <v>2.0678387148788647E-3</v>
      </c>
      <c r="K301" s="132">
        <f t="shared" si="45"/>
        <v>3.7523613883388234E-3</v>
      </c>
      <c r="L301" s="258">
        <f>IFERROR(VLOOKUP($D301,'Planes y paquetes'!$C$391:$G$429,4,FALSE),"")</f>
        <v>1265.6600000000001</v>
      </c>
      <c r="M301" s="258"/>
    </row>
    <row r="302" spans="2:13" x14ac:dyDescent="0.2">
      <c r="B302" s="145" t="str">
        <f t="shared" si="46"/>
        <v>Paquete Telmex Negocio Ilimitado 2No residencial</v>
      </c>
      <c r="C302" s="95">
        <f t="shared" si="47"/>
        <v>27</v>
      </c>
      <c r="D302" s="256" t="str">
        <v>Paquete Telmex Negocio Ilimitado 2</v>
      </c>
      <c r="E302" s="90" t="str">
        <f>IFERROR(VLOOKUP($D302,'Planes y paquetes'!$C$391:$E$429,2,FALSE),"")</f>
        <v>No residencial</v>
      </c>
      <c r="F302" s="90" t="str">
        <f>IFERROR(VLOOKUP($D302,'Planes y paquetes'!$C$391:$E$429,3,FALSE),"")</f>
        <v>Telefonía fija + Internet fijo</v>
      </c>
      <c r="G302" s="19" t="str">
        <f t="shared" si="43"/>
        <v>750 Mbps</v>
      </c>
      <c r="H302" s="257">
        <f>IFERROR(VLOOKUP($D302,'Planes y paquetes'!$C$661:$L$699,10,FALSE),"")+IFERROR(VLOOKUP($D302,'Planes y paquetes'!$C$661:$L$699,8,FALSE),"")</f>
        <v>1232</v>
      </c>
      <c r="I302" s="257">
        <f>IFERROR(VLOOKUP($D302,'Planes y paquetes'!$C$661:$L$699,9,FALSE),"")</f>
        <v>13638</v>
      </c>
      <c r="J302" s="132">
        <f t="shared" si="44"/>
        <v>7.7599064780102393E-4</v>
      </c>
      <c r="K302" s="132">
        <f t="shared" si="45"/>
        <v>1.3995160699602053E-3</v>
      </c>
      <c r="L302" s="258">
        <f>IFERROR(VLOOKUP($D302,'Planes y paquetes'!$C$391:$G$429,4,FALSE),"")</f>
        <v>1510.52</v>
      </c>
      <c r="M302" s="258"/>
    </row>
    <row r="303" spans="2:13" x14ac:dyDescent="0.2">
      <c r="B303" s="145" t="str">
        <f t="shared" si="46"/>
        <v>Paquete Telmex Negocio Ilimitado 3No residencial</v>
      </c>
      <c r="C303" s="95">
        <f t="shared" si="47"/>
        <v>28</v>
      </c>
      <c r="D303" s="256" t="str">
        <v>Paquete Telmex Negocio Ilimitado 3</v>
      </c>
      <c r="E303" s="90" t="str">
        <f>IFERROR(VLOOKUP($D303,'Planes y paquetes'!$C$391:$E$429,2,FALSE),"")</f>
        <v>No residencial</v>
      </c>
      <c r="F303" s="90" t="str">
        <f>IFERROR(VLOOKUP($D303,'Planes y paquetes'!$C$391:$E$429,3,FALSE),"")</f>
        <v>Telefonía fija + Internet fijo</v>
      </c>
      <c r="G303" s="19" t="str">
        <f t="shared" si="43"/>
        <v>1000 Mbps</v>
      </c>
      <c r="H303" s="257">
        <f>IFERROR(VLOOKUP($D303,'Planes y paquetes'!$C$661:$L$699,10,FALSE),"")+IFERROR(VLOOKUP($D303,'Planes y paquetes'!$C$661:$L$699,8,FALSE),"")</f>
        <v>1036</v>
      </c>
      <c r="I303" s="257">
        <f>IFERROR(VLOOKUP($D303,'Planes y paquetes'!$C$661:$L$699,9,FALSE),"")</f>
        <v>24457</v>
      </c>
      <c r="J303" s="132">
        <f t="shared" si="44"/>
        <v>6.5253759019631556E-4</v>
      </c>
      <c r="K303" s="132">
        <f t="shared" si="45"/>
        <v>2.5097495617404856E-3</v>
      </c>
      <c r="L303" s="258">
        <f>IFERROR(VLOOKUP($D303,'Planes y paquetes'!$C$391:$G$429,4,FALSE),"")</f>
        <v>1932.69</v>
      </c>
      <c r="M303" s="258"/>
    </row>
    <row r="304" spans="2:13" x14ac:dyDescent="0.2">
      <c r="B304" s="145" t="str">
        <f t="shared" si="46"/>
        <v>Infinitum 299 NNo residencial</v>
      </c>
      <c r="C304" s="95">
        <f t="shared" si="47"/>
        <v>29</v>
      </c>
      <c r="D304" s="256" t="str">
        <v>Infinitum 299 N</v>
      </c>
      <c r="E304" s="90" t="str">
        <f>IFERROR(VLOOKUP($D304,'Planes y paquetes'!$C$391:$E$429,2,FALSE),"")</f>
        <v>No residencial</v>
      </c>
      <c r="F304" s="90" t="str">
        <f>IFERROR(VLOOKUP($D304,'Planes y paquetes'!$C$391:$E$429,3,FALSE),"")</f>
        <v>Internet fijo</v>
      </c>
      <c r="G304" s="19" t="str">
        <f t="shared" si="43"/>
        <v>40 Mbps</v>
      </c>
      <c r="H304" s="257">
        <f>IFERROR(VLOOKUP($D304,'Planes y paquetes'!$C$661:$L$699,10,FALSE),"")+IFERROR(VLOOKUP($D304,'Planes y paquetes'!$C$661:$L$699,8,FALSE),"")</f>
        <v>30</v>
      </c>
      <c r="I304" s="257">
        <f>IFERROR(VLOOKUP($D304,'Planes y paquetes'!$C$661:$L$699,9,FALSE),"")</f>
        <v>227</v>
      </c>
      <c r="J304" s="132">
        <f t="shared" si="44"/>
        <v>1.8895876163985972E-5</v>
      </c>
      <c r="K304" s="132">
        <f t="shared" si="45"/>
        <v>2.3294482173410077E-5</v>
      </c>
      <c r="L304" s="258">
        <f>IFERROR(VLOOKUP($D304,'Planes y paquetes'!$C$391:$G$429,4,FALSE),"")</f>
        <v>257.76</v>
      </c>
      <c r="M304" s="258"/>
    </row>
    <row r="305" spans="1:61" x14ac:dyDescent="0.2">
      <c r="B305" s="145" t="str">
        <f t="shared" si="46"/>
        <v>Infinitum Negocio 349No residencial</v>
      </c>
      <c r="C305" s="95">
        <f t="shared" si="47"/>
        <v>30</v>
      </c>
      <c r="D305" s="256" t="str">
        <v>Infinitum Negocio 349</v>
      </c>
      <c r="E305" s="90" t="str">
        <f>IFERROR(VLOOKUP($D305,'Planes y paquetes'!$C$391:$E$429,2,FALSE),"")</f>
        <v>No residencial</v>
      </c>
      <c r="F305" s="90" t="str">
        <f>IFERROR(VLOOKUP($D305,'Planes y paquetes'!$C$391:$E$429,3,FALSE),"")</f>
        <v>Internet fijo</v>
      </c>
      <c r="G305" s="19" t="str">
        <f t="shared" si="43"/>
        <v>80 Mbps</v>
      </c>
      <c r="H305" s="257">
        <f>IFERROR(VLOOKUP($D305,'Planes y paquetes'!$C$661:$L$699,10,FALSE),"")+IFERROR(VLOOKUP($D305,'Planes y paquetes'!$C$661:$L$699,8,FALSE),"")</f>
        <v>15333</v>
      </c>
      <c r="I305" s="257">
        <f>IFERROR(VLOOKUP($D305,'Planes y paquetes'!$C$661:$L$699,9,FALSE),"")</f>
        <v>96230</v>
      </c>
      <c r="J305" s="132">
        <f t="shared" si="44"/>
        <v>9.6576823074132293E-3</v>
      </c>
      <c r="K305" s="132">
        <f t="shared" si="45"/>
        <v>9.8750133019702719E-3</v>
      </c>
      <c r="L305" s="258">
        <f>IFERROR(VLOOKUP($D305,'Planes y paquetes'!$C$391:$G$429,4,FALSE),"")</f>
        <v>300.86</v>
      </c>
      <c r="M305" s="258"/>
    </row>
    <row r="306" spans="1:61" x14ac:dyDescent="0.2">
      <c r="B306" s="145" t="str">
        <f t="shared" si="46"/>
        <v>Infinitum Negocio 399No residencial</v>
      </c>
      <c r="C306" s="95">
        <f t="shared" si="47"/>
        <v>31</v>
      </c>
      <c r="D306" s="256" t="str">
        <v>Infinitum Negocio 399</v>
      </c>
      <c r="E306" s="90" t="str">
        <f>IFERROR(VLOOKUP($D306,'Planes y paquetes'!$C$391:$E$429,2,FALSE),"")</f>
        <v>No residencial</v>
      </c>
      <c r="F306" s="90" t="str">
        <f>IFERROR(VLOOKUP($D306,'Planes y paquetes'!$C$391:$E$429,3,FALSE),"")</f>
        <v>Internet fijo</v>
      </c>
      <c r="G306" s="19" t="str">
        <f t="shared" si="43"/>
        <v>100 Mbps</v>
      </c>
      <c r="H306" s="257">
        <f>IFERROR(VLOOKUP($D306,'Planes y paquetes'!$C$661:$L$699,10,FALSE),"")+IFERROR(VLOOKUP($D306,'Planes y paquetes'!$C$661:$L$699,8,FALSE),"")</f>
        <v>1877</v>
      </c>
      <c r="I306" s="257">
        <f>IFERROR(VLOOKUP($D306,'Planes y paquetes'!$C$661:$L$699,9,FALSE),"")</f>
        <v>27837</v>
      </c>
      <c r="J306" s="132">
        <f t="shared" si="44"/>
        <v>1.1822519853267224E-3</v>
      </c>
      <c r="K306" s="132">
        <f t="shared" si="45"/>
        <v>2.8566013227366359E-3</v>
      </c>
      <c r="L306" s="258">
        <f>IFERROR(VLOOKUP($D306,'Planes y paquetes'!$C$391:$G$429,4,FALSE),"")</f>
        <v>343.97</v>
      </c>
      <c r="M306" s="258"/>
    </row>
    <row r="307" spans="1:61" x14ac:dyDescent="0.2">
      <c r="B307" s="145" t="str">
        <f t="shared" si="46"/>
        <v>Infinitum Negocio 449No residencial</v>
      </c>
      <c r="C307" s="95">
        <f t="shared" si="47"/>
        <v>32</v>
      </c>
      <c r="D307" s="256" t="str">
        <v>Infinitum Negocio 449</v>
      </c>
      <c r="E307" s="90" t="str">
        <f>IFERROR(VLOOKUP($D307,'Planes y paquetes'!$C$391:$E$429,2,FALSE),"")</f>
        <v>No residencial</v>
      </c>
      <c r="F307" s="90" t="str">
        <f>IFERROR(VLOOKUP($D307,'Planes y paquetes'!$C$391:$E$429,3,FALSE),"")</f>
        <v>Internet fijo</v>
      </c>
      <c r="G307" s="19" t="str">
        <f t="shared" si="43"/>
        <v>150 Mbps</v>
      </c>
      <c r="H307" s="257">
        <f>IFERROR(VLOOKUP($D307,'Planes y paquetes'!$C$661:$L$699,10,FALSE),"")+IFERROR(VLOOKUP($D307,'Planes y paquetes'!$C$661:$L$699,8,FALSE),"")</f>
        <v>27</v>
      </c>
      <c r="I307" s="257">
        <f>IFERROR(VLOOKUP($D307,'Planes y paquetes'!$C$661:$L$699,9,FALSE),"")</f>
        <v>12213</v>
      </c>
      <c r="J307" s="132">
        <f t="shared" si="44"/>
        <v>1.7006288547587373E-5</v>
      </c>
      <c r="K307" s="132">
        <f t="shared" si="45"/>
        <v>1.2532841884751421E-3</v>
      </c>
      <c r="L307" s="258">
        <f>IFERROR(VLOOKUP($D307,'Planes y paquetes'!$C$391:$G$429,4,FALSE),"")</f>
        <v>387.07</v>
      </c>
      <c r="M307" s="258"/>
    </row>
    <row r="308" spans="1:61" x14ac:dyDescent="0.2">
      <c r="B308" s="145" t="str">
        <f t="shared" si="46"/>
        <v>Infinitum Negocio 499No residencial</v>
      </c>
      <c r="C308" s="95">
        <f t="shared" si="47"/>
        <v>33</v>
      </c>
      <c r="D308" s="256" t="str">
        <v>Infinitum Negocio 499</v>
      </c>
      <c r="E308" s="90" t="str">
        <f>IFERROR(VLOOKUP($D308,'Planes y paquetes'!$C$391:$E$429,2,FALSE),"")</f>
        <v>No residencial</v>
      </c>
      <c r="F308" s="90" t="str">
        <f>IFERROR(VLOOKUP($D308,'Planes y paquetes'!$C$391:$E$429,3,FALSE),"")</f>
        <v>Internet fijo</v>
      </c>
      <c r="G308" s="19" t="str">
        <f t="shared" si="43"/>
        <v>250 Mbps</v>
      </c>
      <c r="H308" s="257">
        <f>IFERROR(VLOOKUP($D308,'Planes y paquetes'!$C$661:$L$699,10,FALSE),"")+IFERROR(VLOOKUP($D308,'Planes y paquetes'!$C$661:$L$699,8,FALSE),"")</f>
        <v>15</v>
      </c>
      <c r="I308" s="257">
        <f>IFERROR(VLOOKUP($D308,'Planes y paquetes'!$C$661:$L$699,9,FALSE),"")</f>
        <v>4382</v>
      </c>
      <c r="J308" s="132">
        <f t="shared" si="44"/>
        <v>9.4479380819929862E-6</v>
      </c>
      <c r="K308" s="132">
        <f t="shared" si="45"/>
        <v>4.4967586292459454E-4</v>
      </c>
      <c r="L308" s="258">
        <f>IFERROR(VLOOKUP($D308,'Planes y paquetes'!$C$391:$G$429,4,FALSE),"")</f>
        <v>430.17</v>
      </c>
      <c r="M308" s="258"/>
    </row>
    <row r="309" spans="1:61" x14ac:dyDescent="0.2">
      <c r="B309" s="145" t="str">
        <f t="shared" si="46"/>
        <v>Infinitum Negocio 549No residencial</v>
      </c>
      <c r="C309" s="95">
        <f t="shared" si="47"/>
        <v>34</v>
      </c>
      <c r="D309" s="256" t="str">
        <v>Infinitum Negocio 549</v>
      </c>
      <c r="E309" s="90" t="str">
        <f>IFERROR(VLOOKUP($D309,'Planes y paquetes'!$C$391:$E$429,2,FALSE),"")</f>
        <v>No residencial</v>
      </c>
      <c r="F309" s="90" t="str">
        <f>IFERROR(VLOOKUP($D309,'Planes y paquetes'!$C$391:$E$429,3,FALSE),"")</f>
        <v>Internet fijo</v>
      </c>
      <c r="G309" s="19" t="str">
        <f t="shared" si="43"/>
        <v>350 Mbps</v>
      </c>
      <c r="H309" s="257">
        <f>IFERROR(VLOOKUP($D309,'Planes y paquetes'!$C$661:$L$699,10,FALSE),"")+IFERROR(VLOOKUP($D309,'Planes y paquetes'!$C$661:$L$699,8,FALSE),"")</f>
        <v>114</v>
      </c>
      <c r="I309" s="257">
        <f>IFERROR(VLOOKUP($D309,'Planes y paquetes'!$C$661:$L$699,9,FALSE),"")</f>
        <v>28252</v>
      </c>
      <c r="J309" s="132">
        <f t="shared" si="44"/>
        <v>7.1804329423146699E-5</v>
      </c>
      <c r="K309" s="132">
        <f t="shared" si="45"/>
        <v>2.8991881513796541E-3</v>
      </c>
      <c r="L309" s="258">
        <f>IFERROR(VLOOKUP($D309,'Planes y paquetes'!$C$391:$G$429,4,FALSE),"")</f>
        <v>473.28</v>
      </c>
      <c r="M309" s="258"/>
    </row>
    <row r="310" spans="1:61" x14ac:dyDescent="0.2">
      <c r="B310" s="145"/>
      <c r="C310" s="95">
        <f t="shared" si="47"/>
        <v>35</v>
      </c>
      <c r="D310" s="256" t="str">
        <v>Infinitum Negocio 649</v>
      </c>
      <c r="E310" s="90" t="str">
        <f>IFERROR(VLOOKUP($D310,'Planes y paquetes'!$C$391:$E$429,2,FALSE),"")</f>
        <v>No residencial</v>
      </c>
      <c r="F310" s="90" t="str">
        <f>IFERROR(VLOOKUP($D310,'Planes y paquetes'!$C$391:$E$429,3,FALSE),"")</f>
        <v>Internet fijo</v>
      </c>
      <c r="G310" s="19" t="str">
        <f t="shared" si="43"/>
        <v>500 Mbps</v>
      </c>
      <c r="H310" s="257">
        <f>IFERROR(VLOOKUP($D310,'Planes y paquetes'!$C$661:$L$699,10,FALSE),"")+IFERROR(VLOOKUP($D310,'Planes y paquetes'!$C$661:$L$699,8,FALSE),"")</f>
        <v>15</v>
      </c>
      <c r="I310" s="257">
        <f>IFERROR(VLOOKUP($D310,'Planes y paquetes'!$C$661:$L$699,9,FALSE),"")</f>
        <v>3698</v>
      </c>
      <c r="J310" s="132">
        <f t="shared" si="44"/>
        <v>9.4479380819929862E-6</v>
      </c>
      <c r="K310" s="132">
        <f t="shared" si="45"/>
        <v>3.7948455981176414E-4</v>
      </c>
      <c r="L310" s="258">
        <f>IFERROR(VLOOKUP($D310,'Planes y paquetes'!$C$391:$G$429,4,FALSE),"")</f>
        <v>559.48</v>
      </c>
      <c r="M310" s="512"/>
    </row>
    <row r="311" spans="1:61" x14ac:dyDescent="0.2">
      <c r="B311" s="145"/>
      <c r="C311" s="95">
        <f t="shared" si="47"/>
        <v>36</v>
      </c>
      <c r="D311" s="256" t="str">
        <v>Infinitum Negocio 899</v>
      </c>
      <c r="E311" s="90" t="str">
        <f>IFERROR(VLOOKUP($D311,'Planes y paquetes'!$C$391:$E$429,2,FALSE),"")</f>
        <v>No residencial</v>
      </c>
      <c r="F311" s="90" t="str">
        <f>IFERROR(VLOOKUP($D311,'Planes y paquetes'!$C$391:$E$429,3,FALSE),"")</f>
        <v>Internet fijo</v>
      </c>
      <c r="G311" s="19" t="str">
        <f t="shared" si="43"/>
        <v>750 Mbps</v>
      </c>
      <c r="H311" s="257">
        <f>IFERROR(VLOOKUP($D311,'Planes y paquetes'!$C$661:$L$699,10,FALSE),"")+IFERROR(VLOOKUP($D311,'Planes y paquetes'!$C$661:$L$699,8,FALSE),"")</f>
        <v>14</v>
      </c>
      <c r="I311" s="257">
        <f>IFERROR(VLOOKUP($D311,'Planes y paquetes'!$C$661:$L$699,9,FALSE),"")</f>
        <v>8171</v>
      </c>
      <c r="J311" s="132">
        <f t="shared" si="44"/>
        <v>8.8180755431934532E-6</v>
      </c>
      <c r="K311" s="132">
        <f t="shared" si="45"/>
        <v>8.3849873937856274E-4</v>
      </c>
      <c r="L311" s="258">
        <f>IFERROR(VLOOKUP($D311,'Planes y paquetes'!$C$391:$G$429,4,FALSE),"")</f>
        <v>775</v>
      </c>
      <c r="M311" s="512"/>
    </row>
    <row r="312" spans="1:61" x14ac:dyDescent="0.2">
      <c r="B312" s="145"/>
      <c r="C312" s="95">
        <f t="shared" si="47"/>
        <v>37</v>
      </c>
      <c r="D312" s="256" t="str">
        <v>Infinitum Negocio</v>
      </c>
      <c r="E312" s="90" t="str">
        <f>IFERROR(VLOOKUP($D312,'Planes y paquetes'!$C$391:$E$429,2,FALSE),"")</f>
        <v>No Residencial</v>
      </c>
      <c r="F312" s="90" t="str">
        <f>IFERROR(VLOOKUP($D312,'Planes y paquetes'!$C$391:$E$429,3,FALSE),"")</f>
        <v>Internet fijo</v>
      </c>
      <c r="G312" s="19" t="str">
        <f t="shared" si="43"/>
        <v>30 Mbps</v>
      </c>
      <c r="H312" s="257">
        <f>IFERROR(VLOOKUP($D312,'Planes y paquetes'!$C$661:$L$699,10,FALSE),"")+IFERROR(VLOOKUP($D312,'Planes y paquetes'!$C$661:$L$699,8,FALSE),"")</f>
        <v>10403</v>
      </c>
      <c r="I312" s="257">
        <f>IFERROR(VLOOKUP($D312,'Planes y paquetes'!$C$661:$L$699,9,FALSE),"")</f>
        <v>30806</v>
      </c>
      <c r="J312" s="132">
        <f t="shared" si="44"/>
        <v>6.5524599911315354E-3</v>
      </c>
      <c r="K312" s="132">
        <f t="shared" si="45"/>
        <v>3.1612767305465674E-3</v>
      </c>
      <c r="L312" s="258">
        <f>IFERROR(VLOOKUP($D312,'Planes y paquetes'!$C$391:$G$429,4,FALSE),"")</f>
        <v>349</v>
      </c>
      <c r="M312" s="512"/>
    </row>
    <row r="313" spans="1:61" x14ac:dyDescent="0.2">
      <c r="B313" s="145"/>
      <c r="C313" s="95">
        <f t="shared" si="47"/>
        <v>38</v>
      </c>
      <c r="D313" s="256" t="str">
        <v>Infinitum Negocio Red</v>
      </c>
      <c r="E313" s="90" t="str">
        <f>IFERROR(VLOOKUP($D313,'Planes y paquetes'!$C$391:$E$429,2,FALSE),"")</f>
        <v>No Residencial</v>
      </c>
      <c r="F313" s="90" t="str">
        <f>IFERROR(VLOOKUP($D313,'Planes y paquetes'!$C$391:$E$429,3,FALSE),"")</f>
        <v>Internet fijo</v>
      </c>
      <c r="G313" s="19" t="str">
        <f t="shared" si="43"/>
        <v>50 Mbps</v>
      </c>
      <c r="H313" s="257">
        <f>IFERROR(VLOOKUP($D313,'Planes y paquetes'!$C$661:$L$699,10,FALSE),"")+IFERROR(VLOOKUP($D313,'Planes y paquetes'!$C$661:$L$699,8,FALSE),"")</f>
        <v>2575</v>
      </c>
      <c r="I313" s="257">
        <f>IFERROR(VLOOKUP($D313,'Planes y paquetes'!$C$661:$L$699,9,FALSE),"")</f>
        <v>6293</v>
      </c>
      <c r="J313" s="132">
        <f t="shared" si="44"/>
        <v>1.621896037408796E-3</v>
      </c>
      <c r="K313" s="132">
        <f t="shared" si="45"/>
        <v>6.4578051241087934E-4</v>
      </c>
      <c r="L313" s="258">
        <f>IFERROR(VLOOKUP($D313,'Planes y paquetes'!$C$391:$G$429,4,FALSE),"")</f>
        <v>608.69000000000005</v>
      </c>
      <c r="M313" s="512"/>
    </row>
    <row r="314" spans="1:61" x14ac:dyDescent="0.2">
      <c r="B314" s="145"/>
      <c r="C314" s="95">
        <f t="shared" si="47"/>
        <v>39</v>
      </c>
      <c r="D314" s="256" t="str">
        <v>Infinitum Negocio Premium</v>
      </c>
      <c r="E314" s="90" t="str">
        <f>IFERROR(VLOOKUP($D314,'Planes y paquetes'!$C$391:$E$429,2,FALSE),"")</f>
        <v>No Residencial</v>
      </c>
      <c r="F314" s="90" t="str">
        <f>IFERROR(VLOOKUP($D314,'Planes y paquetes'!$C$391:$E$429,3,FALSE),"")</f>
        <v>Internet fijo</v>
      </c>
      <c r="G314" s="19" t="str">
        <f t="shared" si="43"/>
        <v>100 Mbps</v>
      </c>
      <c r="H314" s="257">
        <f>IFERROR(VLOOKUP($D314,'Planes y paquetes'!$C$661:$L$699,10,FALSE),"")+IFERROR(VLOOKUP($D314,'Planes y paquetes'!$C$661:$L$699,8,FALSE),"")</f>
        <v>1867</v>
      </c>
      <c r="I314" s="257">
        <f>IFERROR(VLOOKUP($D314,'Planes y paquetes'!$C$661:$L$699,9,FALSE),"")</f>
        <v>9652</v>
      </c>
      <c r="J314" s="132">
        <f t="shared" si="44"/>
        <v>1.175953359938727E-3</v>
      </c>
      <c r="K314" s="132">
        <f t="shared" si="45"/>
        <v>9.9047727725882855E-4</v>
      </c>
      <c r="L314" s="258">
        <f>IFERROR(VLOOKUP($D314,'Planes y paquetes'!$C$391:$G$429,4,FALSE),"")</f>
        <v>1042.5999999999999</v>
      </c>
      <c r="M314" s="512"/>
    </row>
    <row r="315" spans="1:61" ht="12" x14ac:dyDescent="0.2">
      <c r="B315" t="str">
        <f>D315&amp;E315</f>
        <v/>
      </c>
      <c r="H315" s="262">
        <f>SUMPRODUCT(H276:H314)</f>
        <v>1587648</v>
      </c>
      <c r="I315" s="262">
        <f>SUMPRODUCT(I276:I314)</f>
        <v>9744797</v>
      </c>
      <c r="J315" s="263">
        <f>SUM(J276:J314)</f>
        <v>1.0000000000000002</v>
      </c>
      <c r="K315" s="263">
        <f>SUM(K276:K314)</f>
        <v>1.0000000000000002</v>
      </c>
      <c r="L315" s="263"/>
      <c r="M315" s="512"/>
    </row>
    <row r="316" spans="1:61" ht="12" x14ac:dyDescent="0.2">
      <c r="A316" s="99">
        <v>8</v>
      </c>
      <c r="B316" s="99" t="s">
        <v>462</v>
      </c>
      <c r="C316" s="76"/>
      <c r="D316" s="76"/>
      <c r="E316" s="76"/>
      <c r="F316" s="76"/>
      <c r="G316" s="76"/>
      <c r="H316" s="76"/>
      <c r="I316" s="76"/>
      <c r="J316" s="76"/>
      <c r="K316" s="76"/>
      <c r="L316" s="76"/>
      <c r="M316" s="76"/>
      <c r="N316" s="76"/>
      <c r="O316" s="76"/>
      <c r="P316" s="76"/>
      <c r="Q316" s="76"/>
      <c r="R316" s="76"/>
      <c r="S316" s="76"/>
      <c r="T316" s="76"/>
      <c r="U316" s="76"/>
      <c r="V316" s="76"/>
      <c r="W316" s="76"/>
      <c r="X316" s="76"/>
      <c r="Y316" s="76"/>
      <c r="Z316" s="76"/>
      <c r="AA316" s="76"/>
      <c r="AB316" s="76"/>
      <c r="AC316" s="76"/>
      <c r="AD316" s="76"/>
      <c r="AE316" s="76"/>
      <c r="AF316" s="76"/>
      <c r="AG316" s="76"/>
      <c r="AH316" s="76"/>
      <c r="AI316" s="76"/>
      <c r="AJ316" s="76"/>
      <c r="AK316" s="76"/>
      <c r="AL316" s="76"/>
      <c r="AM316" s="76"/>
      <c r="AN316" s="76"/>
      <c r="AO316" s="76"/>
      <c r="AP316" s="76"/>
      <c r="AQ316" s="76"/>
      <c r="AR316" s="76"/>
      <c r="AS316" s="76"/>
      <c r="AT316" s="76"/>
      <c r="AU316" s="76"/>
      <c r="AV316" s="76"/>
      <c r="AW316" s="76"/>
      <c r="AX316" s="76"/>
      <c r="AY316" s="76"/>
      <c r="AZ316" s="76"/>
      <c r="BA316" s="76"/>
      <c r="BB316" s="76"/>
      <c r="BC316" s="76"/>
      <c r="BD316" s="76"/>
      <c r="BE316" s="76"/>
      <c r="BF316" s="76"/>
      <c r="BG316" s="76"/>
      <c r="BH316" s="76"/>
      <c r="BI316" s="76"/>
    </row>
    <row r="317" spans="1:61" ht="12" x14ac:dyDescent="0.2">
      <c r="AB317" s="264"/>
      <c r="AC317" s="264"/>
    </row>
    <row r="318" spans="1:61" ht="12" x14ac:dyDescent="0.2">
      <c r="C318" s="101" t="s">
        <v>463</v>
      </c>
      <c r="AB318" s="264"/>
      <c r="AC318" s="264"/>
    </row>
    <row r="319" spans="1:61" x14ac:dyDescent="0.2">
      <c r="D319" s="96" t="s">
        <v>464</v>
      </c>
    </row>
    <row r="320" spans="1:61" ht="45.9" customHeight="1" x14ac:dyDescent="0.2">
      <c r="D320" s="222" t="s">
        <v>465</v>
      </c>
      <c r="E320" s="222" t="s">
        <v>466</v>
      </c>
      <c r="F320" s="222" t="s">
        <v>467</v>
      </c>
    </row>
    <row r="321" spans="3:29" ht="12" x14ac:dyDescent="0.2">
      <c r="D321" s="233" t="s">
        <v>395</v>
      </c>
      <c r="E321" s="233" t="s">
        <v>395</v>
      </c>
      <c r="F321" s="233" t="s">
        <v>158</v>
      </c>
    </row>
    <row r="322" spans="3:29" x14ac:dyDescent="0.2">
      <c r="D322" s="213">
        <v>5</v>
      </c>
      <c r="E322" s="579">
        <v>6</v>
      </c>
      <c r="F322" s="580">
        <v>2335</v>
      </c>
    </row>
    <row r="323" spans="3:29" x14ac:dyDescent="0.2">
      <c r="D323" s="213">
        <v>10</v>
      </c>
      <c r="E323" s="579">
        <v>11</v>
      </c>
      <c r="F323" s="580">
        <v>26949</v>
      </c>
    </row>
    <row r="324" spans="3:29" x14ac:dyDescent="0.2">
      <c r="D324" s="213">
        <v>20</v>
      </c>
      <c r="E324" s="579">
        <v>16</v>
      </c>
      <c r="F324" s="580">
        <v>662640</v>
      </c>
    </row>
    <row r="325" spans="3:29" x14ac:dyDescent="0.2">
      <c r="D325" s="213">
        <v>30</v>
      </c>
      <c r="E325" s="579">
        <v>16</v>
      </c>
      <c r="F325" s="580">
        <v>27032</v>
      </c>
      <c r="AB325" s="245"/>
      <c r="AC325" s="245"/>
    </row>
    <row r="326" spans="3:29" ht="12" x14ac:dyDescent="0.2">
      <c r="D326" s="213">
        <v>50</v>
      </c>
      <c r="E326" s="579">
        <v>23</v>
      </c>
      <c r="F326" s="580">
        <v>48021</v>
      </c>
      <c r="AB326" s="264"/>
      <c r="AC326" s="264"/>
    </row>
    <row r="327" spans="3:29" ht="12" x14ac:dyDescent="0.2">
      <c r="D327" s="213">
        <v>60</v>
      </c>
      <c r="E327" s="579">
        <v>23</v>
      </c>
      <c r="F327" s="580">
        <v>6</v>
      </c>
      <c r="AB327" s="264"/>
      <c r="AC327" s="264"/>
    </row>
    <row r="328" spans="3:29" x14ac:dyDescent="0.2">
      <c r="D328" s="213">
        <v>100</v>
      </c>
      <c r="E328" s="579">
        <v>14</v>
      </c>
      <c r="F328" s="580">
        <v>17891</v>
      </c>
    </row>
    <row r="329" spans="3:29" x14ac:dyDescent="0.2">
      <c r="D329" s="213">
        <v>150</v>
      </c>
      <c r="E329" s="579">
        <v>23</v>
      </c>
      <c r="F329" s="580">
        <v>4003</v>
      </c>
    </row>
    <row r="330" spans="3:29" x14ac:dyDescent="0.2">
      <c r="D330" s="213">
        <v>200</v>
      </c>
      <c r="E330" s="579">
        <v>25</v>
      </c>
      <c r="F330" s="580">
        <v>3358</v>
      </c>
    </row>
    <row r="331" spans="3:29" ht="14.4" x14ac:dyDescent="0.3">
      <c r="D331" s="265"/>
      <c r="E331" s="266"/>
      <c r="F331" s="267"/>
    </row>
    <row r="332" spans="3:29" ht="12" thickBot="1" x14ac:dyDescent="0.25">
      <c r="D332" s="268"/>
      <c r="E332" s="269"/>
    </row>
    <row r="333" spans="3:29" ht="12" x14ac:dyDescent="0.2">
      <c r="E333" s="270" t="s">
        <v>468</v>
      </c>
      <c r="F333" s="271"/>
    </row>
    <row r="335" spans="3:29" ht="12" x14ac:dyDescent="0.2">
      <c r="C335" s="101" t="s">
        <v>462</v>
      </c>
    </row>
    <row r="337" spans="3:27" ht="54.9" customHeight="1" x14ac:dyDescent="0.2">
      <c r="C337" s="72" t="s">
        <v>158</v>
      </c>
      <c r="D337" s="72" t="s">
        <v>469</v>
      </c>
      <c r="E337" s="72" t="s">
        <v>470</v>
      </c>
      <c r="F337" s="210" t="s">
        <v>471</v>
      </c>
      <c r="G337" s="210" t="s">
        <v>472</v>
      </c>
      <c r="H337" s="210" t="s">
        <v>470</v>
      </c>
      <c r="I337" s="210" t="s">
        <v>473</v>
      </c>
      <c r="K337" s="210" t="s">
        <v>474</v>
      </c>
      <c r="L337" s="210" t="s">
        <v>475</v>
      </c>
      <c r="M337" s="210" t="s">
        <v>472</v>
      </c>
      <c r="N337" s="210" t="s">
        <v>476</v>
      </c>
      <c r="O337" s="210" t="s">
        <v>477</v>
      </c>
      <c r="P337" s="210" t="s">
        <v>215</v>
      </c>
    </row>
    <row r="338" spans="3:27" ht="12" x14ac:dyDescent="0.2">
      <c r="C338" s="272" t="s">
        <v>478</v>
      </c>
      <c r="F338" s="233" t="s">
        <v>395</v>
      </c>
      <c r="G338" s="233" t="s">
        <v>479</v>
      </c>
      <c r="K338" s="233" t="s">
        <v>395</v>
      </c>
      <c r="L338" s="233" t="s">
        <v>479</v>
      </c>
      <c r="M338" s="233" t="s">
        <v>395</v>
      </c>
      <c r="N338" s="233" t="s">
        <v>223</v>
      </c>
      <c r="O338" s="233" t="s">
        <v>223</v>
      </c>
      <c r="Y338" s="273"/>
      <c r="Z338" s="273"/>
      <c r="AA338" s="273"/>
    </row>
    <row r="339" spans="3:27" ht="12" x14ac:dyDescent="0.2">
      <c r="C339" s="274">
        <v>1</v>
      </c>
      <c r="D339" s="19" t="s">
        <v>480</v>
      </c>
      <c r="E339" s="19" t="s">
        <v>481</v>
      </c>
      <c r="F339" s="213">
        <v>3</v>
      </c>
      <c r="G339" s="275">
        <v>512</v>
      </c>
      <c r="H339" s="19" t="s">
        <v>482</v>
      </c>
      <c r="I339" s="19" t="s">
        <v>483</v>
      </c>
      <c r="K339" s="276">
        <f t="shared" ref="K339:K367" si="48">F339</f>
        <v>3</v>
      </c>
      <c r="L339" s="236">
        <f>K339*factor.Mbps.to.Kbps</f>
        <v>3072</v>
      </c>
      <c r="M339" s="277">
        <f>G339</f>
        <v>512</v>
      </c>
      <c r="N339" s="278">
        <f>M339/L339</f>
        <v>0.16666666666666666</v>
      </c>
      <c r="O339" s="279">
        <f>IFERROR(1-M339/L339,"")</f>
        <v>0.83333333333333337</v>
      </c>
      <c r="P339" t="s">
        <v>484</v>
      </c>
      <c r="Q339" s="125"/>
      <c r="Y339" s="273"/>
      <c r="Z339" s="273"/>
      <c r="AA339" s="273"/>
    </row>
    <row r="340" spans="3:27" ht="12" x14ac:dyDescent="0.2">
      <c r="C340" s="187">
        <f>1+C339</f>
        <v>2</v>
      </c>
      <c r="D340" s="276" t="str">
        <f>D339</f>
        <v>Cobre, FTTN, FTTC</v>
      </c>
      <c r="E340" s="276" t="str">
        <f>E339</f>
        <v>Asimétrico</v>
      </c>
      <c r="F340" s="213">
        <v>5</v>
      </c>
      <c r="G340" s="275">
        <v>768</v>
      </c>
      <c r="H340" s="276" t="str">
        <f>H339</f>
        <v>Datos, Doble calidad, Doble calidad con portabilidad</v>
      </c>
      <c r="I340" s="276" t="str">
        <f>I339</f>
        <v>BE, Doble, Datos Generales, Triple</v>
      </c>
      <c r="K340" s="276">
        <f>VLOOKUP(F340,$D$322:$I$330,2,FALSE)</f>
        <v>6</v>
      </c>
      <c r="L340" s="236">
        <f t="shared" ref="L340:L366" si="49">K340*factor.Mbps.to.Kbps</f>
        <v>6144</v>
      </c>
      <c r="M340" s="277">
        <f>G340</f>
        <v>768</v>
      </c>
      <c r="N340" s="278">
        <f t="shared" ref="N340:N347" si="50">M340/L340</f>
        <v>0.125</v>
      </c>
      <c r="O340" s="279">
        <f t="shared" ref="O340:O348" si="51">IFERROR(1-M340/L340,"")</f>
        <v>0.875</v>
      </c>
      <c r="P340" s="280" t="str">
        <f>P339</f>
        <v>Se estima la proporción del ancho de banda de subida necesario para hacer simétrico al perfil</v>
      </c>
      <c r="Y340" s="273"/>
      <c r="Z340" s="273"/>
      <c r="AA340" s="273"/>
    </row>
    <row r="341" spans="3:27" ht="12" x14ac:dyDescent="0.2">
      <c r="C341" s="187">
        <f t="shared" ref="C341:C367" si="52">1+C340</f>
        <v>3</v>
      </c>
      <c r="D341" s="276" t="str">
        <f t="shared" ref="D341:E347" si="53">D340</f>
        <v>Cobre, FTTN, FTTC</v>
      </c>
      <c r="E341" s="276" t="str">
        <f t="shared" si="53"/>
        <v>Asimétrico</v>
      </c>
      <c r="F341" s="213">
        <v>10</v>
      </c>
      <c r="G341" s="275">
        <v>960</v>
      </c>
      <c r="H341" s="276" t="str">
        <f t="shared" ref="H341:I356" si="54">H340</f>
        <v>Datos, Doble calidad, Doble calidad con portabilidad</v>
      </c>
      <c r="I341" s="276" t="str">
        <f t="shared" si="54"/>
        <v>BE, Doble, Datos Generales, Triple</v>
      </c>
      <c r="K341" s="281">
        <f>VLOOKUP(F341,$D$322:$H$330,2,FALSE)</f>
        <v>11</v>
      </c>
      <c r="L341" s="236">
        <f>K341*factor.Mbps.to.Kbps</f>
        <v>11264</v>
      </c>
      <c r="M341" s="277">
        <f t="shared" ref="M341:M347" si="55">G341</f>
        <v>960</v>
      </c>
      <c r="N341" s="278">
        <f t="shared" si="50"/>
        <v>8.5227272727272721E-2</v>
      </c>
      <c r="O341" s="279">
        <f t="shared" si="51"/>
        <v>0.91477272727272729</v>
      </c>
      <c r="P341" s="280" t="str">
        <f t="shared" ref="P341:P359" si="56">P340</f>
        <v>Se estima la proporción del ancho de banda de subida necesario para hacer simétrico al perfil</v>
      </c>
      <c r="Y341" s="273"/>
      <c r="Z341" s="273"/>
      <c r="AA341" s="273"/>
    </row>
    <row r="342" spans="3:27" ht="12" x14ac:dyDescent="0.2">
      <c r="C342" s="187">
        <f t="shared" si="52"/>
        <v>4</v>
      </c>
      <c r="D342" s="276" t="str">
        <f t="shared" si="53"/>
        <v>Cobre, FTTN, FTTC</v>
      </c>
      <c r="E342" s="276" t="str">
        <f t="shared" si="53"/>
        <v>Asimétrico</v>
      </c>
      <c r="F342" s="213">
        <v>20</v>
      </c>
      <c r="G342" s="275">
        <v>2000</v>
      </c>
      <c r="H342" s="276" t="str">
        <f t="shared" si="54"/>
        <v>Datos, Doble calidad, Doble calidad con portabilidad</v>
      </c>
      <c r="I342" s="276" t="str">
        <f t="shared" si="54"/>
        <v>BE, Doble, Datos Generales, Triple</v>
      </c>
      <c r="K342" s="281">
        <f>VLOOKUP(F342,$D$322:$H$330,2,FALSE)</f>
        <v>16</v>
      </c>
      <c r="L342" s="236">
        <f>K342*factor.Mbps.to.Kbps</f>
        <v>16384</v>
      </c>
      <c r="M342" s="277">
        <f t="shared" si="55"/>
        <v>2000</v>
      </c>
      <c r="N342" s="278">
        <f t="shared" si="50"/>
        <v>0.1220703125</v>
      </c>
      <c r="O342" s="279">
        <f t="shared" si="51"/>
        <v>0.8779296875</v>
      </c>
      <c r="P342" s="280" t="str">
        <f t="shared" si="56"/>
        <v>Se estima la proporción del ancho de banda de subida necesario para hacer simétrico al perfil</v>
      </c>
      <c r="Y342" s="273"/>
      <c r="Z342" s="273"/>
      <c r="AA342" s="273"/>
    </row>
    <row r="343" spans="3:27" ht="12" x14ac:dyDescent="0.2">
      <c r="C343" s="187">
        <f t="shared" si="52"/>
        <v>5</v>
      </c>
      <c r="D343" s="276" t="str">
        <f t="shared" si="53"/>
        <v>Cobre, FTTN, FTTC</v>
      </c>
      <c r="E343" s="276" t="str">
        <f t="shared" si="53"/>
        <v>Asimétrico</v>
      </c>
      <c r="F343" s="213">
        <v>30</v>
      </c>
      <c r="G343" s="275">
        <v>3000</v>
      </c>
      <c r="H343" s="276" t="str">
        <f t="shared" si="54"/>
        <v>Datos, Doble calidad, Doble calidad con portabilidad</v>
      </c>
      <c r="I343" s="276" t="str">
        <f t="shared" si="54"/>
        <v>BE, Doble, Datos Generales, Triple</v>
      </c>
      <c r="K343" s="281">
        <f>VLOOKUP(F343,$D$322:$H$330,2,FALSE)</f>
        <v>16</v>
      </c>
      <c r="L343" s="236">
        <f t="shared" si="49"/>
        <v>16384</v>
      </c>
      <c r="M343" s="277">
        <f t="shared" si="55"/>
        <v>3000</v>
      </c>
      <c r="N343" s="278">
        <f t="shared" si="50"/>
        <v>0.18310546875</v>
      </c>
      <c r="O343" s="279">
        <f t="shared" si="51"/>
        <v>0.81689453125</v>
      </c>
      <c r="P343" s="280" t="str">
        <f t="shared" si="56"/>
        <v>Se estima la proporción del ancho de banda de subida necesario para hacer simétrico al perfil</v>
      </c>
      <c r="Y343" s="273"/>
      <c r="Z343" s="273"/>
      <c r="AA343" s="273"/>
    </row>
    <row r="344" spans="3:27" ht="12" x14ac:dyDescent="0.2">
      <c r="C344" s="187">
        <f t="shared" si="52"/>
        <v>6</v>
      </c>
      <c r="D344" s="276" t="str">
        <f t="shared" si="53"/>
        <v>Cobre, FTTN, FTTC</v>
      </c>
      <c r="E344" s="276" t="str">
        <f t="shared" si="53"/>
        <v>Asimétrico</v>
      </c>
      <c r="F344" s="213">
        <v>40</v>
      </c>
      <c r="G344" s="275">
        <v>4000</v>
      </c>
      <c r="H344" s="276" t="str">
        <f t="shared" si="54"/>
        <v>Datos, Doble calidad, Doble calidad con portabilidad</v>
      </c>
      <c r="I344" s="276" t="str">
        <f t="shared" si="54"/>
        <v>BE, Doble, Datos Generales, Triple</v>
      </c>
      <c r="K344" s="281"/>
      <c r="L344" s="236">
        <f t="shared" si="49"/>
        <v>0</v>
      </c>
      <c r="M344" s="277">
        <f t="shared" si="55"/>
        <v>4000</v>
      </c>
      <c r="N344" s="278" t="e">
        <f t="shared" si="50"/>
        <v>#DIV/0!</v>
      </c>
      <c r="O344" s="279" t="str">
        <f t="shared" si="51"/>
        <v/>
      </c>
      <c r="P344" s="280" t="str">
        <f t="shared" si="56"/>
        <v>Se estima la proporción del ancho de banda de subida necesario para hacer simétrico al perfil</v>
      </c>
      <c r="Y344" s="273"/>
      <c r="Z344" s="273"/>
      <c r="AA344" s="273"/>
    </row>
    <row r="345" spans="3:27" ht="12" x14ac:dyDescent="0.2">
      <c r="C345" s="187">
        <f t="shared" si="52"/>
        <v>7</v>
      </c>
      <c r="D345" s="276" t="str">
        <f t="shared" si="53"/>
        <v>Cobre, FTTN, FTTC</v>
      </c>
      <c r="E345" s="276" t="str">
        <f t="shared" si="53"/>
        <v>Asimétrico</v>
      </c>
      <c r="F345" s="213">
        <v>50</v>
      </c>
      <c r="G345" s="275">
        <v>5000</v>
      </c>
      <c r="H345" s="276" t="str">
        <f t="shared" si="54"/>
        <v>Datos, Doble calidad, Doble calidad con portabilidad</v>
      </c>
      <c r="I345" s="276" t="str">
        <f t="shared" si="54"/>
        <v>BE, Doble, Datos Generales, Triple</v>
      </c>
      <c r="K345" s="281">
        <f>VLOOKUP(F345,$D$322:$H$330,2,FALSE)</f>
        <v>23</v>
      </c>
      <c r="L345" s="236">
        <f t="shared" si="49"/>
        <v>23552</v>
      </c>
      <c r="M345" s="277">
        <f t="shared" si="55"/>
        <v>5000</v>
      </c>
      <c r="N345" s="278">
        <f t="shared" si="50"/>
        <v>0.21229619565217392</v>
      </c>
      <c r="O345" s="279">
        <f t="shared" si="51"/>
        <v>0.78770380434782605</v>
      </c>
      <c r="P345" s="280" t="str">
        <f t="shared" si="56"/>
        <v>Se estima la proporción del ancho de banda de subida necesario para hacer simétrico al perfil</v>
      </c>
      <c r="Y345" s="273"/>
      <c r="Z345" s="273"/>
      <c r="AA345" s="273"/>
    </row>
    <row r="346" spans="3:27" ht="12" x14ac:dyDescent="0.2">
      <c r="C346" s="187">
        <f t="shared" si="52"/>
        <v>8</v>
      </c>
      <c r="D346" s="276" t="str">
        <f t="shared" si="53"/>
        <v>Cobre, FTTN, FTTC</v>
      </c>
      <c r="E346" s="276" t="str">
        <f t="shared" si="53"/>
        <v>Asimétrico</v>
      </c>
      <c r="F346" s="213">
        <v>60</v>
      </c>
      <c r="G346" s="275">
        <v>6000</v>
      </c>
      <c r="H346" s="276" t="str">
        <f t="shared" si="54"/>
        <v>Datos, Doble calidad, Doble calidad con portabilidad</v>
      </c>
      <c r="I346" s="276" t="str">
        <f t="shared" si="54"/>
        <v>BE, Doble, Datos Generales, Triple</v>
      </c>
      <c r="K346" s="281">
        <f>VLOOKUP(F346,$D$322:$H$330,2,FALSE)</f>
        <v>23</v>
      </c>
      <c r="L346" s="236">
        <f t="shared" si="49"/>
        <v>23552</v>
      </c>
      <c r="M346" s="277">
        <f t="shared" si="55"/>
        <v>6000</v>
      </c>
      <c r="N346" s="278">
        <f t="shared" si="50"/>
        <v>0.2547554347826087</v>
      </c>
      <c r="O346" s="279">
        <f t="shared" si="51"/>
        <v>0.74524456521739135</v>
      </c>
      <c r="P346" s="280" t="str">
        <f t="shared" si="56"/>
        <v>Se estima la proporción del ancho de banda de subida necesario para hacer simétrico al perfil</v>
      </c>
      <c r="Y346" s="273"/>
      <c r="Z346" s="273"/>
      <c r="AA346" s="273"/>
    </row>
    <row r="347" spans="3:27" ht="12" x14ac:dyDescent="0.2">
      <c r="C347" s="187">
        <f t="shared" si="52"/>
        <v>9</v>
      </c>
      <c r="D347" s="276" t="str">
        <f t="shared" si="53"/>
        <v>Cobre, FTTN, FTTC</v>
      </c>
      <c r="E347" s="276" t="str">
        <f t="shared" si="53"/>
        <v>Asimétrico</v>
      </c>
      <c r="F347" s="213">
        <v>100</v>
      </c>
      <c r="G347" s="275">
        <v>10000</v>
      </c>
      <c r="H347" s="276" t="str">
        <f t="shared" si="54"/>
        <v>Datos, Doble calidad, Doble calidad con portabilidad</v>
      </c>
      <c r="I347" s="276" t="str">
        <f t="shared" si="54"/>
        <v>BE, Doble, Datos Generales, Triple</v>
      </c>
      <c r="K347" s="281">
        <f>VLOOKUP(F347,$D$322:$H$330,2,FALSE)</f>
        <v>14</v>
      </c>
      <c r="L347" s="236">
        <f t="shared" si="49"/>
        <v>14336</v>
      </c>
      <c r="M347" s="277">
        <f t="shared" si="55"/>
        <v>10000</v>
      </c>
      <c r="N347" s="278">
        <f t="shared" si="50"/>
        <v>0.6975446428571429</v>
      </c>
      <c r="O347" s="279">
        <f t="shared" si="51"/>
        <v>0.3024553571428571</v>
      </c>
      <c r="P347" s="280" t="str">
        <f t="shared" si="56"/>
        <v>Se estima la proporción del ancho de banda de subida necesario para hacer simétrico al perfil</v>
      </c>
      <c r="Y347" s="273"/>
      <c r="Z347" s="273"/>
      <c r="AA347" s="273"/>
    </row>
    <row r="348" spans="3:27" ht="12" x14ac:dyDescent="0.2">
      <c r="C348" s="187">
        <f>1+C347</f>
        <v>10</v>
      </c>
      <c r="D348" s="276" t="str">
        <f>D347</f>
        <v>Cobre, FTTN, FTTC</v>
      </c>
      <c r="E348" s="276" t="str">
        <f>E347</f>
        <v>Asimétrico</v>
      </c>
      <c r="F348" s="213">
        <v>200</v>
      </c>
      <c r="G348" s="275"/>
      <c r="H348" s="276" t="str">
        <f>H347</f>
        <v>Datos, Doble calidad, Doble calidad con portabilidad</v>
      </c>
      <c r="I348" s="276" t="str">
        <f>I347</f>
        <v>BE, Doble, Datos Generales, Triple</v>
      </c>
      <c r="K348" s="281">
        <f>VLOOKUP(F348,$D$322:$H$330,2,FALSE)</f>
        <v>25</v>
      </c>
      <c r="L348" s="236"/>
      <c r="M348" s="277"/>
      <c r="N348" s="278"/>
      <c r="O348" s="279" t="str">
        <f t="shared" si="51"/>
        <v/>
      </c>
      <c r="P348" s="280"/>
      <c r="Y348" s="273"/>
      <c r="Z348" s="273"/>
      <c r="AA348" s="273"/>
    </row>
    <row r="349" spans="3:27" ht="12" x14ac:dyDescent="0.2">
      <c r="C349" s="187"/>
      <c r="D349" s="276"/>
      <c r="E349" s="276"/>
      <c r="F349" s="213"/>
      <c r="G349" s="275"/>
      <c r="H349" s="276"/>
      <c r="I349" s="276"/>
      <c r="K349" s="281"/>
      <c r="L349" s="236"/>
      <c r="M349" s="277"/>
      <c r="N349" s="278"/>
      <c r="O349" s="279"/>
      <c r="P349" s="280"/>
      <c r="Y349" s="273"/>
      <c r="Z349" s="273"/>
      <c r="AA349" s="273"/>
    </row>
    <row r="350" spans="3:27" ht="12" x14ac:dyDescent="0.2">
      <c r="C350" s="187">
        <f>1+C348</f>
        <v>11</v>
      </c>
      <c r="D350" s="19" t="s">
        <v>485</v>
      </c>
      <c r="E350" s="19" t="s">
        <v>481</v>
      </c>
      <c r="F350" s="213">
        <v>3</v>
      </c>
      <c r="G350" s="275">
        <v>512</v>
      </c>
      <c r="H350" s="276" t="str">
        <f>H347</f>
        <v>Datos, Doble calidad, Doble calidad con portabilidad</v>
      </c>
      <c r="I350" s="276" t="str">
        <f>I347</f>
        <v>BE, Doble, Datos Generales, Triple</v>
      </c>
      <c r="K350" s="276">
        <f t="shared" si="48"/>
        <v>3</v>
      </c>
      <c r="L350" s="236">
        <f>K350*factor.Mbps.to.Kbps</f>
        <v>3072</v>
      </c>
      <c r="M350" s="277">
        <f>G350</f>
        <v>512</v>
      </c>
      <c r="N350" s="278">
        <f>M350/L350</f>
        <v>0.16666666666666666</v>
      </c>
      <c r="O350" s="279">
        <f>1-M350/L350</f>
        <v>0.83333333333333337</v>
      </c>
      <c r="P350" s="280" t="str">
        <f>P347</f>
        <v>Se estima la proporción del ancho de banda de subida necesario para hacer simétrico al perfil</v>
      </c>
      <c r="Y350" s="273"/>
      <c r="Z350" s="273"/>
      <c r="AA350" s="273"/>
    </row>
    <row r="351" spans="3:27" ht="12" x14ac:dyDescent="0.2">
      <c r="C351" s="187">
        <f t="shared" si="52"/>
        <v>12</v>
      </c>
      <c r="D351" s="276" t="str">
        <f>D350</f>
        <v>Fibra FTTH</v>
      </c>
      <c r="E351" s="276" t="str">
        <f>E350</f>
        <v>Asimétrico</v>
      </c>
      <c r="F351" s="213">
        <v>5</v>
      </c>
      <c r="G351" s="275">
        <v>1000</v>
      </c>
      <c r="H351" s="276" t="str">
        <f t="shared" si="54"/>
        <v>Datos, Doble calidad, Doble calidad con portabilidad</v>
      </c>
      <c r="I351" s="276" t="str">
        <f t="shared" si="54"/>
        <v>BE, Doble, Datos Generales, Triple</v>
      </c>
      <c r="K351" s="276">
        <f t="shared" si="48"/>
        <v>5</v>
      </c>
      <c r="L351" s="236">
        <f t="shared" si="49"/>
        <v>5120</v>
      </c>
      <c r="M351" s="277">
        <v>1024</v>
      </c>
      <c r="N351" s="278">
        <f t="shared" ref="N351:N359" si="57">M351/L351</f>
        <v>0.2</v>
      </c>
      <c r="O351" s="279">
        <f t="shared" ref="O351:O359" si="58">1-M351/L351</f>
        <v>0.8</v>
      </c>
      <c r="P351" s="280" t="str">
        <f t="shared" si="56"/>
        <v>Se estima la proporción del ancho de banda de subida necesario para hacer simétrico al perfil</v>
      </c>
    </row>
    <row r="352" spans="3:27" ht="12" x14ac:dyDescent="0.2">
      <c r="C352" s="187">
        <f t="shared" si="52"/>
        <v>13</v>
      </c>
      <c r="D352" s="276" t="str">
        <f t="shared" ref="D352:E361" si="59">D351</f>
        <v>Fibra FTTH</v>
      </c>
      <c r="E352" s="276" t="str">
        <f t="shared" si="59"/>
        <v>Asimétrico</v>
      </c>
      <c r="F352" s="213">
        <v>10</v>
      </c>
      <c r="G352" s="275">
        <v>1000</v>
      </c>
      <c r="H352" s="276" t="str">
        <f t="shared" si="54"/>
        <v>Datos, Doble calidad, Doble calidad con portabilidad</v>
      </c>
      <c r="I352" s="276" t="str">
        <f t="shared" si="54"/>
        <v>BE, Doble, Datos Generales, Triple</v>
      </c>
      <c r="K352" s="276">
        <f t="shared" si="48"/>
        <v>10</v>
      </c>
      <c r="L352" s="236">
        <f t="shared" si="49"/>
        <v>10240</v>
      </c>
      <c r="M352" s="277">
        <f t="shared" ref="M352:M359" si="60">G352</f>
        <v>1000</v>
      </c>
      <c r="N352" s="278">
        <f t="shared" si="57"/>
        <v>9.765625E-2</v>
      </c>
      <c r="O352" s="279">
        <f t="shared" si="58"/>
        <v>0.90234375</v>
      </c>
      <c r="P352" s="280" t="str">
        <f t="shared" si="56"/>
        <v>Se estima la proporción del ancho de banda de subida necesario para hacer simétrico al perfil</v>
      </c>
    </row>
    <row r="353" spans="3:27" ht="12" x14ac:dyDescent="0.2">
      <c r="C353" s="187">
        <f t="shared" si="52"/>
        <v>14</v>
      </c>
      <c r="D353" s="276" t="str">
        <f t="shared" si="59"/>
        <v>Fibra FTTH</v>
      </c>
      <c r="E353" s="276" t="str">
        <f t="shared" si="59"/>
        <v>Asimétrico</v>
      </c>
      <c r="F353" s="213">
        <v>20</v>
      </c>
      <c r="G353" s="275">
        <v>2000</v>
      </c>
      <c r="H353" s="276" t="str">
        <f t="shared" si="54"/>
        <v>Datos, Doble calidad, Doble calidad con portabilidad</v>
      </c>
      <c r="I353" s="276" t="str">
        <f t="shared" si="54"/>
        <v>BE, Doble, Datos Generales, Triple</v>
      </c>
      <c r="K353" s="276">
        <f t="shared" si="48"/>
        <v>20</v>
      </c>
      <c r="L353" s="236">
        <f t="shared" si="49"/>
        <v>20480</v>
      </c>
      <c r="M353" s="277">
        <f t="shared" si="60"/>
        <v>2000</v>
      </c>
      <c r="N353" s="278">
        <f t="shared" si="57"/>
        <v>9.765625E-2</v>
      </c>
      <c r="O353" s="279">
        <f t="shared" si="58"/>
        <v>0.90234375</v>
      </c>
      <c r="P353" s="280" t="str">
        <f t="shared" si="56"/>
        <v>Se estima la proporción del ancho de banda de subida necesario para hacer simétrico al perfil</v>
      </c>
    </row>
    <row r="354" spans="3:27" ht="12" x14ac:dyDescent="0.2">
      <c r="C354" s="187">
        <f t="shared" si="52"/>
        <v>15</v>
      </c>
      <c r="D354" s="276" t="str">
        <f t="shared" si="59"/>
        <v>Fibra FTTH</v>
      </c>
      <c r="E354" s="276" t="str">
        <f t="shared" si="59"/>
        <v>Asimétrico</v>
      </c>
      <c r="F354" s="213">
        <v>30</v>
      </c>
      <c r="G354" s="275">
        <v>3000</v>
      </c>
      <c r="H354" s="276" t="str">
        <f t="shared" si="54"/>
        <v>Datos, Doble calidad, Doble calidad con portabilidad</v>
      </c>
      <c r="I354" s="276" t="str">
        <f t="shared" si="54"/>
        <v>BE, Doble, Datos Generales, Triple</v>
      </c>
      <c r="K354" s="276">
        <f t="shared" si="48"/>
        <v>30</v>
      </c>
      <c r="L354" s="236">
        <f t="shared" si="49"/>
        <v>30720</v>
      </c>
      <c r="M354" s="277">
        <f t="shared" si="60"/>
        <v>3000</v>
      </c>
      <c r="N354" s="278">
        <f t="shared" si="57"/>
        <v>9.765625E-2</v>
      </c>
      <c r="O354" s="279">
        <f t="shared" si="58"/>
        <v>0.90234375</v>
      </c>
      <c r="P354" s="280" t="str">
        <f t="shared" si="56"/>
        <v>Se estima la proporción del ancho de banda de subida necesario para hacer simétrico al perfil</v>
      </c>
    </row>
    <row r="355" spans="3:27" ht="12" x14ac:dyDescent="0.2">
      <c r="C355" s="187">
        <f t="shared" si="52"/>
        <v>16</v>
      </c>
      <c r="D355" s="276" t="str">
        <f t="shared" si="59"/>
        <v>Fibra FTTH</v>
      </c>
      <c r="E355" s="276" t="str">
        <f t="shared" si="59"/>
        <v>Asimétrico</v>
      </c>
      <c r="F355" s="213">
        <v>40</v>
      </c>
      <c r="G355" s="275">
        <v>4000</v>
      </c>
      <c r="H355" s="276" t="str">
        <f t="shared" si="54"/>
        <v>Datos, Doble calidad, Doble calidad con portabilidad</v>
      </c>
      <c r="I355" s="276" t="str">
        <f t="shared" si="54"/>
        <v>BE, Doble, Datos Generales, Triple</v>
      </c>
      <c r="K355" s="276">
        <f t="shared" si="48"/>
        <v>40</v>
      </c>
      <c r="L355" s="236">
        <f t="shared" si="49"/>
        <v>40960</v>
      </c>
      <c r="M355" s="277">
        <f t="shared" si="60"/>
        <v>4000</v>
      </c>
      <c r="N355" s="278">
        <f t="shared" si="57"/>
        <v>9.765625E-2</v>
      </c>
      <c r="O355" s="279">
        <f>1-M355/L355</f>
        <v>0.90234375</v>
      </c>
      <c r="P355" s="280" t="str">
        <f t="shared" si="56"/>
        <v>Se estima la proporción del ancho de banda de subida necesario para hacer simétrico al perfil</v>
      </c>
    </row>
    <row r="356" spans="3:27" ht="12" x14ac:dyDescent="0.2">
      <c r="C356" s="187">
        <f t="shared" si="52"/>
        <v>17</v>
      </c>
      <c r="D356" s="276" t="str">
        <f t="shared" si="59"/>
        <v>Fibra FTTH</v>
      </c>
      <c r="E356" s="276" t="str">
        <f t="shared" si="59"/>
        <v>Asimétrico</v>
      </c>
      <c r="F356" s="213">
        <v>50</v>
      </c>
      <c r="G356" s="275">
        <v>5000</v>
      </c>
      <c r="H356" s="276" t="str">
        <f t="shared" si="54"/>
        <v>Datos, Doble calidad, Doble calidad con portabilidad</v>
      </c>
      <c r="I356" s="276" t="str">
        <f t="shared" si="54"/>
        <v>BE, Doble, Datos Generales, Triple</v>
      </c>
      <c r="K356" s="276">
        <f t="shared" si="48"/>
        <v>50</v>
      </c>
      <c r="L356" s="236">
        <f t="shared" si="49"/>
        <v>51200</v>
      </c>
      <c r="M356" s="277">
        <f t="shared" si="60"/>
        <v>5000</v>
      </c>
      <c r="N356" s="278">
        <f t="shared" si="57"/>
        <v>9.765625E-2</v>
      </c>
      <c r="O356" s="279">
        <f>1-M356/L356</f>
        <v>0.90234375</v>
      </c>
      <c r="P356" s="280" t="str">
        <f t="shared" si="56"/>
        <v>Se estima la proporción del ancho de banda de subida necesario para hacer simétrico al perfil</v>
      </c>
      <c r="X356" s="269"/>
      <c r="Y356" s="269"/>
      <c r="Z356" s="269"/>
      <c r="AA356" s="269"/>
    </row>
    <row r="357" spans="3:27" ht="12" x14ac:dyDescent="0.2">
      <c r="C357" s="187">
        <f t="shared" si="52"/>
        <v>18</v>
      </c>
      <c r="D357" s="276" t="str">
        <f t="shared" si="59"/>
        <v>Fibra FTTH</v>
      </c>
      <c r="E357" s="276" t="str">
        <f t="shared" si="59"/>
        <v>Asimétrico</v>
      </c>
      <c r="F357" s="213">
        <v>60</v>
      </c>
      <c r="G357" s="275">
        <v>6000</v>
      </c>
      <c r="H357" s="276" t="str">
        <f t="shared" ref="H357:I359" si="61">H356</f>
        <v>Datos, Doble calidad, Doble calidad con portabilidad</v>
      </c>
      <c r="I357" s="276" t="str">
        <f t="shared" si="61"/>
        <v>BE, Doble, Datos Generales, Triple</v>
      </c>
      <c r="K357" s="282">
        <f>F357</f>
        <v>60</v>
      </c>
      <c r="L357" s="236">
        <f t="shared" si="49"/>
        <v>61440</v>
      </c>
      <c r="M357" s="277">
        <f t="shared" si="60"/>
        <v>6000</v>
      </c>
      <c r="N357" s="278">
        <f t="shared" si="57"/>
        <v>9.765625E-2</v>
      </c>
      <c r="O357" s="279">
        <f t="shared" si="58"/>
        <v>0.90234375</v>
      </c>
      <c r="P357" s="280" t="str">
        <f t="shared" si="56"/>
        <v>Se estima la proporción del ancho de banda de subida necesario para hacer simétrico al perfil</v>
      </c>
      <c r="X357" s="269"/>
      <c r="Y357" s="269"/>
      <c r="Z357" s="269"/>
      <c r="AA357" s="269"/>
    </row>
    <row r="358" spans="3:27" ht="12" x14ac:dyDescent="0.2">
      <c r="C358" s="187">
        <f t="shared" si="52"/>
        <v>19</v>
      </c>
      <c r="D358" s="276" t="str">
        <f t="shared" si="59"/>
        <v>Fibra FTTH</v>
      </c>
      <c r="E358" s="276" t="str">
        <f t="shared" si="59"/>
        <v>Asimétrico</v>
      </c>
      <c r="F358" s="213">
        <v>100</v>
      </c>
      <c r="G358" s="275">
        <v>10000</v>
      </c>
      <c r="H358" s="276" t="str">
        <f t="shared" si="61"/>
        <v>Datos, Doble calidad, Doble calidad con portabilidad</v>
      </c>
      <c r="I358" s="276" t="str">
        <f t="shared" si="61"/>
        <v>BE, Doble, Datos Generales, Triple</v>
      </c>
      <c r="K358" s="276">
        <f t="shared" si="48"/>
        <v>100</v>
      </c>
      <c r="L358" s="236">
        <f t="shared" si="49"/>
        <v>102400</v>
      </c>
      <c r="M358" s="277">
        <f t="shared" si="60"/>
        <v>10000</v>
      </c>
      <c r="N358" s="278">
        <f t="shared" si="57"/>
        <v>9.765625E-2</v>
      </c>
      <c r="O358" s="279">
        <f t="shared" si="58"/>
        <v>0.90234375</v>
      </c>
      <c r="P358" s="280" t="str">
        <f t="shared" si="56"/>
        <v>Se estima la proporción del ancho de banda de subida necesario para hacer simétrico al perfil</v>
      </c>
      <c r="X358" s="269"/>
      <c r="Y358" s="269"/>
      <c r="Z358" s="269"/>
      <c r="AA358" s="269"/>
    </row>
    <row r="359" spans="3:27" ht="12" x14ac:dyDescent="0.2">
      <c r="C359" s="187">
        <f t="shared" si="52"/>
        <v>20</v>
      </c>
      <c r="D359" s="276" t="str">
        <f t="shared" si="59"/>
        <v>Fibra FTTH</v>
      </c>
      <c r="E359" s="276" t="str">
        <f t="shared" si="59"/>
        <v>Asimétrico</v>
      </c>
      <c r="F359" s="213">
        <v>200</v>
      </c>
      <c r="G359" s="275">
        <v>20000</v>
      </c>
      <c r="H359" s="276" t="str">
        <f t="shared" si="61"/>
        <v>Datos, Doble calidad, Doble calidad con portabilidad</v>
      </c>
      <c r="I359" s="276" t="str">
        <f t="shared" si="61"/>
        <v>BE, Doble, Datos Generales, Triple</v>
      </c>
      <c r="K359" s="276">
        <f t="shared" si="48"/>
        <v>200</v>
      </c>
      <c r="L359" s="236">
        <f t="shared" si="49"/>
        <v>204800</v>
      </c>
      <c r="M359" s="277">
        <f t="shared" si="60"/>
        <v>20000</v>
      </c>
      <c r="N359" s="278">
        <f t="shared" si="57"/>
        <v>9.765625E-2</v>
      </c>
      <c r="O359" s="279">
        <f t="shared" si="58"/>
        <v>0.90234375</v>
      </c>
      <c r="P359" s="280" t="str">
        <f t="shared" si="56"/>
        <v>Se estima la proporción del ancho de banda de subida necesario para hacer simétrico al perfil</v>
      </c>
      <c r="X359" s="269"/>
      <c r="Y359" s="269"/>
      <c r="Z359" s="269"/>
      <c r="AA359" s="269"/>
    </row>
    <row r="360" spans="3:27" ht="12" x14ac:dyDescent="0.2">
      <c r="C360" s="187">
        <f t="shared" si="52"/>
        <v>21</v>
      </c>
      <c r="D360" s="276" t="str">
        <f t="shared" si="59"/>
        <v>Fibra FTTH</v>
      </c>
      <c r="E360" s="276" t="str">
        <f t="shared" si="59"/>
        <v>Asimétrico</v>
      </c>
      <c r="F360" s="213">
        <v>350</v>
      </c>
      <c r="G360" s="275"/>
      <c r="H360" s="276"/>
      <c r="I360" s="276"/>
      <c r="K360" s="276">
        <f t="shared" si="48"/>
        <v>350</v>
      </c>
      <c r="L360" s="236"/>
      <c r="M360" s="277"/>
      <c r="N360" s="278"/>
      <c r="O360" s="279"/>
      <c r="P360" s="280"/>
      <c r="X360" s="269"/>
      <c r="Y360" s="269"/>
      <c r="Z360" s="269"/>
      <c r="AA360" s="269"/>
    </row>
    <row r="361" spans="3:27" ht="12" x14ac:dyDescent="0.2">
      <c r="C361" s="187">
        <f t="shared" si="52"/>
        <v>22</v>
      </c>
      <c r="D361" s="276" t="str">
        <f t="shared" si="59"/>
        <v>Fibra FTTH</v>
      </c>
      <c r="E361" s="276" t="str">
        <f t="shared" si="59"/>
        <v>Asimétrico</v>
      </c>
      <c r="F361" s="213">
        <v>400</v>
      </c>
      <c r="G361" s="275"/>
      <c r="H361" s="276"/>
      <c r="I361" s="276"/>
      <c r="K361" s="276">
        <f t="shared" si="48"/>
        <v>400</v>
      </c>
      <c r="L361" s="236"/>
      <c r="M361" s="277"/>
      <c r="N361" s="278"/>
      <c r="O361" s="279"/>
      <c r="P361" s="280"/>
      <c r="X361" s="269"/>
      <c r="Y361" s="269"/>
      <c r="Z361" s="269"/>
      <c r="AA361" s="269"/>
    </row>
    <row r="362" spans="3:27" ht="12" x14ac:dyDescent="0.2">
      <c r="C362" s="187">
        <f t="shared" si="52"/>
        <v>23</v>
      </c>
      <c r="D362" s="19" t="s">
        <v>485</v>
      </c>
      <c r="E362" s="19" t="s">
        <v>486</v>
      </c>
      <c r="F362" s="213">
        <v>10</v>
      </c>
      <c r="G362" s="275">
        <v>10000</v>
      </c>
      <c r="H362" s="276" t="str">
        <f>H359</f>
        <v>Datos, Doble calidad, Doble calidad con portabilidad</v>
      </c>
      <c r="I362" s="276" t="str">
        <f>I359</f>
        <v>BE, Doble, Datos Generales, Triple</v>
      </c>
      <c r="K362" s="276">
        <f t="shared" si="48"/>
        <v>10</v>
      </c>
      <c r="L362" s="236">
        <f t="shared" si="49"/>
        <v>10240</v>
      </c>
      <c r="M362" s="283"/>
      <c r="N362" s="284"/>
      <c r="O362" s="284"/>
      <c r="P362" s="284"/>
      <c r="X362" s="269"/>
      <c r="Y362" s="269"/>
      <c r="Z362" s="269"/>
      <c r="AA362" s="269"/>
    </row>
    <row r="363" spans="3:27" ht="12" x14ac:dyDescent="0.2">
      <c r="C363" s="187">
        <f t="shared" si="52"/>
        <v>24</v>
      </c>
      <c r="D363" s="276" t="str">
        <f t="shared" ref="D363:E367" si="62">D362</f>
        <v>Fibra FTTH</v>
      </c>
      <c r="E363" s="276" t="str">
        <f t="shared" si="62"/>
        <v>Simétrico</v>
      </c>
      <c r="F363" s="213">
        <v>30</v>
      </c>
      <c r="G363" s="275">
        <v>30000</v>
      </c>
      <c r="H363" s="276" t="str">
        <f t="shared" ref="H363:I367" si="63">H362</f>
        <v>Datos, Doble calidad, Doble calidad con portabilidad</v>
      </c>
      <c r="I363" s="276" t="str">
        <f t="shared" si="63"/>
        <v>BE, Doble, Datos Generales, Triple</v>
      </c>
      <c r="K363" s="276">
        <f t="shared" si="48"/>
        <v>30</v>
      </c>
      <c r="L363" s="236">
        <f t="shared" si="49"/>
        <v>30720</v>
      </c>
      <c r="M363" s="283"/>
      <c r="N363" s="284"/>
      <c r="O363" s="284"/>
      <c r="P363" s="284"/>
      <c r="X363" s="269"/>
      <c r="Y363" s="269"/>
      <c r="Z363" s="269"/>
      <c r="AA363" s="269"/>
    </row>
    <row r="364" spans="3:27" ht="12" x14ac:dyDescent="0.2">
      <c r="C364" s="187">
        <f t="shared" si="52"/>
        <v>25</v>
      </c>
      <c r="D364" s="276" t="str">
        <f t="shared" si="62"/>
        <v>Fibra FTTH</v>
      </c>
      <c r="E364" s="276" t="str">
        <f t="shared" si="62"/>
        <v>Simétrico</v>
      </c>
      <c r="F364" s="213">
        <v>50</v>
      </c>
      <c r="G364" s="275">
        <v>50000</v>
      </c>
      <c r="H364" s="276" t="str">
        <f t="shared" si="63"/>
        <v>Datos, Doble calidad, Doble calidad con portabilidad</v>
      </c>
      <c r="I364" s="276" t="str">
        <f t="shared" si="63"/>
        <v>BE, Doble, Datos Generales, Triple</v>
      </c>
      <c r="K364" s="276">
        <f t="shared" si="48"/>
        <v>50</v>
      </c>
      <c r="L364" s="236">
        <f t="shared" si="49"/>
        <v>51200</v>
      </c>
      <c r="M364" s="283"/>
      <c r="N364" s="284"/>
      <c r="O364" s="284"/>
      <c r="P364" s="284"/>
      <c r="X364" s="269"/>
      <c r="Y364" s="269"/>
      <c r="Z364" s="269"/>
      <c r="AA364" s="269"/>
    </row>
    <row r="365" spans="3:27" ht="12" x14ac:dyDescent="0.2">
      <c r="C365" s="187">
        <f t="shared" si="52"/>
        <v>26</v>
      </c>
      <c r="D365" s="276" t="str">
        <f t="shared" si="62"/>
        <v>Fibra FTTH</v>
      </c>
      <c r="E365" s="276" t="str">
        <f t="shared" si="62"/>
        <v>Simétrico</v>
      </c>
      <c r="F365" s="213">
        <v>100</v>
      </c>
      <c r="G365" s="275">
        <v>100000</v>
      </c>
      <c r="H365" s="276" t="str">
        <f t="shared" si="63"/>
        <v>Datos, Doble calidad, Doble calidad con portabilidad</v>
      </c>
      <c r="I365" s="276" t="str">
        <f t="shared" si="63"/>
        <v>BE, Doble, Datos Generales, Triple</v>
      </c>
      <c r="K365" s="276">
        <f t="shared" si="48"/>
        <v>100</v>
      </c>
      <c r="L365" s="236">
        <f t="shared" si="49"/>
        <v>102400</v>
      </c>
      <c r="M365" s="283"/>
      <c r="N365" s="284"/>
      <c r="O365" s="284"/>
      <c r="P365" s="284"/>
      <c r="X365" s="269"/>
      <c r="Y365" s="269"/>
      <c r="Z365" s="269"/>
      <c r="AA365" s="269"/>
    </row>
    <row r="366" spans="3:27" ht="12" x14ac:dyDescent="0.2">
      <c r="C366" s="187">
        <f t="shared" si="52"/>
        <v>27</v>
      </c>
      <c r="D366" s="276" t="str">
        <f t="shared" si="62"/>
        <v>Fibra FTTH</v>
      </c>
      <c r="E366" s="276" t="str">
        <f t="shared" si="62"/>
        <v>Simétrico</v>
      </c>
      <c r="F366" s="213">
        <v>150</v>
      </c>
      <c r="G366" s="275">
        <v>150000</v>
      </c>
      <c r="H366" s="276" t="str">
        <f t="shared" si="63"/>
        <v>Datos, Doble calidad, Doble calidad con portabilidad</v>
      </c>
      <c r="I366" s="276" t="str">
        <f t="shared" si="63"/>
        <v>BE, Doble, Datos Generales, Triple</v>
      </c>
      <c r="K366" s="276">
        <f t="shared" si="48"/>
        <v>150</v>
      </c>
      <c r="L366" s="236">
        <f t="shared" si="49"/>
        <v>153600</v>
      </c>
      <c r="M366" s="283"/>
      <c r="N366" s="284"/>
      <c r="O366" s="284"/>
      <c r="P366" s="284"/>
      <c r="X366" s="269"/>
      <c r="Y366" s="269"/>
      <c r="Z366" s="269"/>
      <c r="AA366" s="269"/>
    </row>
    <row r="367" spans="3:27" ht="12.6" thickBot="1" x14ac:dyDescent="0.25">
      <c r="C367" s="187">
        <f t="shared" si="52"/>
        <v>28</v>
      </c>
      <c r="D367" s="276" t="str">
        <f t="shared" si="62"/>
        <v>Fibra FTTH</v>
      </c>
      <c r="E367" s="276" t="str">
        <f t="shared" si="62"/>
        <v>Simétrico</v>
      </c>
      <c r="F367" s="213">
        <v>200</v>
      </c>
      <c r="G367" s="275">
        <v>200000</v>
      </c>
      <c r="H367" s="276" t="str">
        <f t="shared" si="63"/>
        <v>Datos, Doble calidad, Doble calidad con portabilidad</v>
      </c>
      <c r="I367" s="276" t="str">
        <f t="shared" si="63"/>
        <v>BE, Doble, Datos Generales, Triple</v>
      </c>
      <c r="K367" s="276">
        <f t="shared" si="48"/>
        <v>200</v>
      </c>
      <c r="L367" s="236">
        <f>K367*factor.Mbps.to.Kbps</f>
        <v>204800</v>
      </c>
      <c r="M367" s="283"/>
      <c r="N367" s="284"/>
      <c r="O367" s="284"/>
      <c r="P367" s="284"/>
      <c r="X367" s="269"/>
      <c r="Y367" s="269"/>
      <c r="Z367" s="269"/>
      <c r="AA367" s="269"/>
    </row>
    <row r="368" spans="3:27" x14ac:dyDescent="0.2">
      <c r="C368" s="53"/>
      <c r="D368" s="53"/>
      <c r="E368" s="53"/>
      <c r="F368" s="53"/>
      <c r="G368" s="53"/>
      <c r="H368" s="53"/>
      <c r="I368" s="53"/>
      <c r="K368" s="53"/>
      <c r="L368" s="53"/>
      <c r="M368" s="53"/>
      <c r="N368" s="53"/>
      <c r="O368" s="53"/>
      <c r="P368" s="53"/>
      <c r="X368" s="269"/>
      <c r="Y368" s="269"/>
      <c r="Z368" s="269"/>
      <c r="AA368" s="269"/>
    </row>
    <row r="369" spans="2:27" x14ac:dyDescent="0.2">
      <c r="X369" s="269"/>
      <c r="Y369" s="269"/>
      <c r="Z369" s="269"/>
      <c r="AA369" s="269"/>
    </row>
    <row r="370" spans="2:27" ht="60" customHeight="1" x14ac:dyDescent="0.2">
      <c r="D370" s="210" t="s">
        <v>475</v>
      </c>
      <c r="E370" s="210" t="str">
        <f>"Factor promedio de simetría  
"</f>
        <v xml:space="preserve">Factor promedio de simetría  
</v>
      </c>
      <c r="F370" s="210" t="s">
        <v>215</v>
      </c>
      <c r="X370" s="269"/>
      <c r="Y370" s="269"/>
      <c r="Z370" s="269"/>
      <c r="AA370" s="269"/>
    </row>
    <row r="371" spans="2:27" ht="12" x14ac:dyDescent="0.2">
      <c r="D371" s="233" t="s">
        <v>395</v>
      </c>
      <c r="E371" s="233" t="s">
        <v>223</v>
      </c>
      <c r="X371" s="269"/>
      <c r="Y371" s="269"/>
      <c r="Z371" s="269"/>
      <c r="AA371" s="269"/>
    </row>
    <row r="372" spans="2:27" ht="12" x14ac:dyDescent="0.2">
      <c r="C372" s="274">
        <v>1</v>
      </c>
      <c r="D372" s="213">
        <v>3</v>
      </c>
      <c r="E372" s="285">
        <f>E373</f>
        <v>0.76916675075801688</v>
      </c>
      <c r="F372" s="283"/>
      <c r="X372" s="269"/>
      <c r="Y372" s="269"/>
      <c r="Z372" s="269"/>
      <c r="AA372" s="269"/>
    </row>
    <row r="373" spans="2:27" x14ac:dyDescent="0.2">
      <c r="C373" s="187">
        <f>1+C372</f>
        <v>2</v>
      </c>
      <c r="D373" s="213">
        <v>5</v>
      </c>
      <c r="E373" s="286">
        <f>AVERAGE(O339:O347)</f>
        <v>0.76916675075801688</v>
      </c>
      <c r="F373" t="s">
        <v>487</v>
      </c>
      <c r="L373" s="114"/>
      <c r="X373" s="269"/>
      <c r="Y373" s="269"/>
      <c r="Z373" s="269"/>
      <c r="AA373" s="269"/>
    </row>
    <row r="374" spans="2:27" x14ac:dyDescent="0.2">
      <c r="C374" s="187">
        <f t="shared" ref="C374:C382" si="64">1+C373</f>
        <v>3</v>
      </c>
      <c r="D374" s="213">
        <v>10</v>
      </c>
      <c r="E374" s="285">
        <f>E373</f>
        <v>0.76916675075801688</v>
      </c>
      <c r="F374" s="283"/>
    </row>
    <row r="375" spans="2:27" x14ac:dyDescent="0.2">
      <c r="C375" s="187">
        <f t="shared" si="64"/>
        <v>4</v>
      </c>
      <c r="D375" s="213">
        <v>20</v>
      </c>
      <c r="E375" s="285">
        <f t="shared" ref="E375:E380" si="65">E374</f>
        <v>0.76916675075801688</v>
      </c>
      <c r="F375" s="283"/>
    </row>
    <row r="376" spans="2:27" x14ac:dyDescent="0.2">
      <c r="C376" s="187">
        <f t="shared" si="64"/>
        <v>5</v>
      </c>
      <c r="D376" s="213">
        <v>30</v>
      </c>
      <c r="E376" s="285">
        <f t="shared" si="65"/>
        <v>0.76916675075801688</v>
      </c>
      <c r="F376" s="283"/>
    </row>
    <row r="377" spans="2:27" x14ac:dyDescent="0.2">
      <c r="C377" s="187">
        <f t="shared" si="64"/>
        <v>6</v>
      </c>
      <c r="D377" s="213">
        <v>40</v>
      </c>
      <c r="E377" s="285">
        <f t="shared" si="65"/>
        <v>0.76916675075801688</v>
      </c>
      <c r="F377" s="283"/>
    </row>
    <row r="378" spans="2:27" x14ac:dyDescent="0.2">
      <c r="C378" s="187">
        <f t="shared" si="64"/>
        <v>7</v>
      </c>
      <c r="D378" s="213">
        <v>50</v>
      </c>
      <c r="E378" s="285">
        <f t="shared" si="65"/>
        <v>0.76916675075801688</v>
      </c>
      <c r="F378" s="283"/>
    </row>
    <row r="379" spans="2:27" x14ac:dyDescent="0.2">
      <c r="C379" s="187">
        <f t="shared" si="64"/>
        <v>8</v>
      </c>
      <c r="D379" s="213">
        <v>60</v>
      </c>
      <c r="E379" s="285">
        <f t="shared" si="65"/>
        <v>0.76916675075801688</v>
      </c>
      <c r="F379" s="283"/>
    </row>
    <row r="380" spans="2:27" x14ac:dyDescent="0.2">
      <c r="B380" s="103"/>
      <c r="C380" s="187">
        <v>9</v>
      </c>
      <c r="D380" s="213">
        <v>80</v>
      </c>
      <c r="E380" s="285">
        <f t="shared" si="65"/>
        <v>0.76916675075801688</v>
      </c>
      <c r="F380" s="287" t="s">
        <v>488</v>
      </c>
    </row>
    <row r="381" spans="2:27" x14ac:dyDescent="0.2">
      <c r="B381" s="103"/>
      <c r="C381" s="187">
        <f>1+C379</f>
        <v>9</v>
      </c>
      <c r="D381" s="213">
        <v>100</v>
      </c>
      <c r="E381" s="285">
        <f>E379</f>
        <v>0.76916675075801688</v>
      </c>
      <c r="F381" s="283"/>
    </row>
    <row r="382" spans="2:27" x14ac:dyDescent="0.2">
      <c r="B382" s="103"/>
      <c r="C382" s="187">
        <f t="shared" si="64"/>
        <v>10</v>
      </c>
      <c r="D382" s="213">
        <v>150</v>
      </c>
      <c r="E382" s="285">
        <f>E381</f>
        <v>0.76916675075801688</v>
      </c>
      <c r="F382" s="283"/>
    </row>
    <row r="383" spans="2:27" x14ac:dyDescent="0.2">
      <c r="B383" s="103"/>
      <c r="C383" s="187">
        <f>1+C382</f>
        <v>11</v>
      </c>
      <c r="D383" s="213">
        <v>200</v>
      </c>
      <c r="E383" s="285">
        <f>E382</f>
        <v>0.76916675075801688</v>
      </c>
      <c r="F383" s="283"/>
    </row>
    <row r="384" spans="2:27" x14ac:dyDescent="0.2">
      <c r="B384" s="103"/>
      <c r="C384" s="187">
        <v>12</v>
      </c>
      <c r="D384" s="213">
        <v>300</v>
      </c>
      <c r="E384" s="285">
        <f>E383</f>
        <v>0.76916675075801688</v>
      </c>
      <c r="F384" s="287" t="s">
        <v>488</v>
      </c>
    </row>
    <row r="385" spans="1:62" x14ac:dyDescent="0.2">
      <c r="B385" s="103"/>
      <c r="C385" s="187">
        <v>13</v>
      </c>
      <c r="D385" s="213">
        <v>350</v>
      </c>
      <c r="E385" s="285">
        <f>E384</f>
        <v>0.76916675075801688</v>
      </c>
      <c r="F385" s="287" t="s">
        <v>488</v>
      </c>
    </row>
    <row r="386" spans="1:62" ht="12" thickBot="1" x14ac:dyDescent="0.25">
      <c r="B386" s="103"/>
      <c r="C386" s="187">
        <v>13</v>
      </c>
      <c r="D386" s="213">
        <v>400</v>
      </c>
      <c r="E386" s="285">
        <f>E385</f>
        <v>0.76916675075801688</v>
      </c>
      <c r="F386" s="287" t="s">
        <v>488</v>
      </c>
    </row>
    <row r="387" spans="1:62" x14ac:dyDescent="0.2">
      <c r="C387" s="53"/>
      <c r="D387" s="53"/>
      <c r="E387" s="53"/>
      <c r="F387" s="53"/>
    </row>
    <row r="389" spans="1:62" ht="12" x14ac:dyDescent="0.2">
      <c r="A389" s="99">
        <v>9</v>
      </c>
      <c r="B389" s="99" t="s">
        <v>489</v>
      </c>
      <c r="C389" s="76"/>
      <c r="D389" s="76"/>
      <c r="E389" s="76"/>
      <c r="F389" s="76"/>
      <c r="G389" s="76"/>
      <c r="H389" s="76"/>
      <c r="I389" s="76"/>
      <c r="J389" s="76"/>
      <c r="K389" s="76"/>
      <c r="L389" s="76"/>
      <c r="M389" s="76"/>
      <c r="N389" s="76"/>
      <c r="O389" s="76"/>
      <c r="P389" s="76"/>
      <c r="Q389" s="76"/>
      <c r="R389" s="76"/>
      <c r="S389" s="76"/>
      <c r="T389" s="76"/>
      <c r="U389" s="76"/>
      <c r="V389" s="76"/>
      <c r="W389" s="76"/>
      <c r="X389" s="76"/>
      <c r="Y389" s="76"/>
      <c r="Z389" s="76"/>
      <c r="AA389" s="76"/>
      <c r="AB389" s="76"/>
      <c r="AC389" s="76"/>
      <c r="AD389" s="76"/>
      <c r="AE389" s="76"/>
      <c r="AF389" s="76"/>
      <c r="AG389" s="76"/>
      <c r="AH389" s="76"/>
      <c r="AI389" s="76"/>
      <c r="AJ389" s="76"/>
      <c r="AK389" s="76"/>
      <c r="AL389" s="76"/>
      <c r="AM389" s="76"/>
      <c r="AN389" s="76"/>
      <c r="AO389" s="76"/>
      <c r="AP389" s="76"/>
      <c r="AQ389" s="76"/>
      <c r="AR389" s="76"/>
      <c r="AS389" s="76"/>
      <c r="AT389" s="76"/>
      <c r="AU389" s="76"/>
      <c r="AV389" s="76"/>
      <c r="AW389" s="76"/>
      <c r="AX389" s="76"/>
      <c r="AY389" s="76"/>
      <c r="AZ389" s="76"/>
      <c r="BA389" s="76"/>
      <c r="BB389" s="76"/>
      <c r="BC389" s="76"/>
      <c r="BD389" s="76"/>
      <c r="BE389" s="76"/>
      <c r="BF389" s="76"/>
      <c r="BG389" s="76"/>
      <c r="BH389" s="76"/>
      <c r="BI389" s="76"/>
      <c r="BJ389" s="76"/>
    </row>
    <row r="391" spans="1:62" ht="12" x14ac:dyDescent="0.2">
      <c r="C391" s="101" t="s">
        <v>490</v>
      </c>
      <c r="H391" s="135"/>
      <c r="I391" s="288"/>
      <c r="J391" s="135"/>
      <c r="K391" s="135"/>
    </row>
    <row r="392" spans="1:62" ht="12" x14ac:dyDescent="0.2">
      <c r="E392" s="72" t="s">
        <v>491</v>
      </c>
      <c r="F392" s="72" t="s">
        <v>492</v>
      </c>
      <c r="G392" s="72" t="s">
        <v>493</v>
      </c>
      <c r="H392" s="289"/>
      <c r="I392" s="289"/>
      <c r="J392" s="290"/>
      <c r="K392" s="290"/>
      <c r="Q392" s="232"/>
      <c r="R392" s="232"/>
    </row>
    <row r="393" spans="1:62" ht="12" x14ac:dyDescent="0.2">
      <c r="E393" s="233" t="s">
        <v>395</v>
      </c>
      <c r="F393" s="233" t="s">
        <v>279</v>
      </c>
      <c r="G393" s="233"/>
      <c r="H393" s="135"/>
      <c r="I393" s="291"/>
      <c r="J393" s="291"/>
      <c r="K393" s="291"/>
      <c r="R393" s="292"/>
    </row>
    <row r="394" spans="1:62" x14ac:dyDescent="0.2">
      <c r="F394" s="76"/>
      <c r="G394" s="76"/>
      <c r="H394" s="293"/>
      <c r="I394" s="293"/>
      <c r="J394" s="293"/>
      <c r="K394" s="293"/>
      <c r="R394" s="292"/>
    </row>
    <row r="395" spans="1:62" ht="12" x14ac:dyDescent="0.2">
      <c r="C395" s="100">
        <v>1</v>
      </c>
      <c r="D395" s="301" t="s">
        <v>194</v>
      </c>
      <c r="E395" s="213">
        <f>LEFT('Planes y paquetes'!O411,FIND(" ",'Planes y paquetes'!O411))*1</f>
        <v>80</v>
      </c>
      <c r="F395" s="170">
        <v>172.41</v>
      </c>
      <c r="G395" t="s">
        <v>495</v>
      </c>
      <c r="H395" s="294"/>
      <c r="I395" s="295"/>
      <c r="J395" s="135"/>
      <c r="K395" s="135"/>
      <c r="V395" s="126"/>
      <c r="W395" s="296"/>
      <c r="X395" s="230"/>
      <c r="AB395" s="230"/>
      <c r="AC395" s="230"/>
    </row>
    <row r="396" spans="1:62" ht="12" x14ac:dyDescent="0.2">
      <c r="C396" s="93">
        <f>C395+1</f>
        <v>2</v>
      </c>
      <c r="D396" s="301" t="s">
        <v>196</v>
      </c>
      <c r="E396" s="213">
        <f>LEFT('Planes y paquetes'!O412,FIND(" ",'Planes y paquetes'!O412))*1</f>
        <v>150</v>
      </c>
      <c r="F396" s="170">
        <v>215.52</v>
      </c>
      <c r="G396" t="s">
        <v>497</v>
      </c>
      <c r="H396" s="294"/>
      <c r="I396" s="295"/>
      <c r="J396" s="135"/>
      <c r="K396" s="135"/>
      <c r="Q396" s="129"/>
      <c r="R396" s="103"/>
      <c r="S396" s="103"/>
      <c r="T396" s="103"/>
      <c r="U396" s="103"/>
      <c r="V396" s="126"/>
      <c r="W396" s="296"/>
      <c r="X396" s="230"/>
      <c r="AB396" s="230"/>
      <c r="AC396" s="230"/>
    </row>
    <row r="397" spans="1:62" ht="12" x14ac:dyDescent="0.2">
      <c r="C397" s="93">
        <f t="shared" ref="C397:C402" si="66">C396+1</f>
        <v>3</v>
      </c>
      <c r="D397" s="166" t="s">
        <v>198</v>
      </c>
      <c r="E397" s="213">
        <f>LEFT('Planes y paquetes'!O413,FIND(" ",'Planes y paquetes'!O413))*1</f>
        <v>250</v>
      </c>
      <c r="F397" s="199">
        <v>241.38</v>
      </c>
      <c r="H397" s="294"/>
      <c r="I397" s="295"/>
      <c r="J397" s="135"/>
      <c r="K397" s="135"/>
      <c r="Q397" s="129"/>
      <c r="R397" s="103"/>
      <c r="S397" s="103"/>
      <c r="T397" s="103"/>
      <c r="U397" s="103"/>
      <c r="V397" s="126"/>
      <c r="W397" s="296"/>
      <c r="X397" s="230"/>
      <c r="AB397" s="230"/>
      <c r="AC397" s="230"/>
    </row>
    <row r="398" spans="1:62" ht="12" x14ac:dyDescent="0.2">
      <c r="C398" s="93">
        <f t="shared" si="66"/>
        <v>4</v>
      </c>
      <c r="D398" s="308" t="s">
        <v>200</v>
      </c>
      <c r="E398" s="213">
        <f>LEFT('Planes y paquetes'!O414,FIND(" ",'Planes y paquetes'!O414))*1</f>
        <v>350</v>
      </c>
      <c r="F398" s="170">
        <v>258.63</v>
      </c>
      <c r="G398" t="s">
        <v>499</v>
      </c>
      <c r="H398" s="294"/>
      <c r="I398" s="295"/>
      <c r="J398" s="135"/>
      <c r="K398" s="135"/>
      <c r="Q398" s="103"/>
      <c r="R398" s="297"/>
      <c r="S398" s="103"/>
      <c r="T398" s="103"/>
      <c r="U398" s="103"/>
      <c r="V398" s="126"/>
      <c r="W398" s="296"/>
      <c r="X398" s="230"/>
      <c r="AB398" s="230"/>
      <c r="AC398" s="230"/>
    </row>
    <row r="399" spans="1:62" ht="12" x14ac:dyDescent="0.2">
      <c r="C399" s="93">
        <f t="shared" si="66"/>
        <v>5</v>
      </c>
      <c r="D399" s="166" t="s">
        <v>202</v>
      </c>
      <c r="E399" s="213">
        <f>LEFT('Planes y paquetes'!O415,FIND(" ",'Planes y paquetes'!O415))*1</f>
        <v>500</v>
      </c>
      <c r="F399" s="199">
        <v>301.72000000000003</v>
      </c>
      <c r="H399" s="294"/>
      <c r="I399" s="295"/>
      <c r="J399" s="135"/>
      <c r="K399" s="135"/>
      <c r="Q399" s="103"/>
      <c r="R399" s="297"/>
      <c r="S399" s="103"/>
      <c r="T399" s="103"/>
      <c r="U399" s="103"/>
      <c r="V399" s="126"/>
      <c r="W399" s="296"/>
      <c r="X399" s="230"/>
      <c r="AB399" s="230"/>
      <c r="AC399" s="230"/>
    </row>
    <row r="400" spans="1:62" ht="12" x14ac:dyDescent="0.2">
      <c r="C400" s="93">
        <f t="shared" si="66"/>
        <v>6</v>
      </c>
      <c r="D400" s="301" t="s">
        <v>500</v>
      </c>
      <c r="E400" s="213">
        <f>LEFT('Planes y paquetes'!O416,FIND(" ",'Planes y paquetes'!O416))*1</f>
        <v>750</v>
      </c>
      <c r="F400" s="170">
        <v>344.83</v>
      </c>
      <c r="G400" t="s">
        <v>501</v>
      </c>
      <c r="H400" s="294"/>
      <c r="I400" s="295"/>
      <c r="J400" s="135"/>
      <c r="K400" s="135"/>
      <c r="Q400" s="103"/>
      <c r="R400" s="298"/>
      <c r="S400" s="103"/>
      <c r="T400" s="103"/>
      <c r="U400" s="103"/>
      <c r="V400" s="126"/>
      <c r="W400" s="296"/>
      <c r="X400" s="230"/>
      <c r="AB400" s="230"/>
      <c r="AC400" s="230"/>
    </row>
    <row r="401" spans="3:29" ht="12" x14ac:dyDescent="0.2">
      <c r="C401" s="93">
        <f t="shared" si="66"/>
        <v>7</v>
      </c>
      <c r="D401" s="301" t="s">
        <v>502</v>
      </c>
      <c r="E401" s="213">
        <f>LEFT('Planes y paquetes'!O417,FIND(" ",'Planes y paquetes'!O417))*1</f>
        <v>750</v>
      </c>
      <c r="F401" s="170">
        <v>387.94</v>
      </c>
      <c r="G401" t="s">
        <v>503</v>
      </c>
      <c r="H401" s="294"/>
      <c r="I401" s="295"/>
      <c r="J401" s="135"/>
      <c r="K401" s="135"/>
      <c r="Q401" s="230"/>
      <c r="V401" s="126"/>
      <c r="W401" s="296"/>
      <c r="X401" s="230"/>
      <c r="AB401" s="230"/>
      <c r="AC401" s="230"/>
    </row>
    <row r="402" spans="3:29" ht="12.6" thickBot="1" x14ac:dyDescent="0.25">
      <c r="C402" s="93">
        <f t="shared" si="66"/>
        <v>8</v>
      </c>
      <c r="D402" s="301" t="s">
        <v>504</v>
      </c>
      <c r="E402" s="213">
        <f>LEFT('Planes y paquetes'!O418,FIND(" ",'Planes y paquetes'!O418))*1</f>
        <v>1000</v>
      </c>
      <c r="F402" s="170">
        <v>431.03</v>
      </c>
      <c r="G402" t="s">
        <v>505</v>
      </c>
      <c r="H402" s="294"/>
      <c r="I402" s="295"/>
      <c r="J402" s="135"/>
      <c r="K402" s="135"/>
      <c r="Q402" s="230"/>
      <c r="V402" s="126"/>
      <c r="W402" s="296"/>
      <c r="X402" s="230"/>
      <c r="AB402" s="230"/>
      <c r="AC402" s="230"/>
    </row>
    <row r="403" spans="3:29" x14ac:dyDescent="0.2">
      <c r="C403" s="53"/>
      <c r="D403" s="53"/>
      <c r="E403" s="53"/>
      <c r="F403" s="53"/>
      <c r="G403" s="53"/>
      <c r="H403" s="217"/>
      <c r="I403" s="217"/>
      <c r="J403" s="217"/>
      <c r="V403" s="197"/>
      <c r="W403" s="296"/>
    </row>
    <row r="404" spans="3:29" ht="12" x14ac:dyDescent="0.2">
      <c r="C404" s="101" t="s">
        <v>506</v>
      </c>
      <c r="J404" s="135"/>
      <c r="K404" s="135"/>
      <c r="L404" s="288"/>
    </row>
    <row r="405" spans="3:29" ht="42" customHeight="1" x14ac:dyDescent="0.2">
      <c r="D405" s="43" t="s">
        <v>309</v>
      </c>
      <c r="E405" s="210" t="s">
        <v>507</v>
      </c>
      <c r="F405" s="210" t="s">
        <v>508</v>
      </c>
      <c r="G405" s="43" t="str">
        <f>"Precio minorista "&amp;Year.selected&amp;" Sin impuestos"</f>
        <v>Precio minorista 2025 Sin impuestos</v>
      </c>
      <c r="H405" s="299" t="s">
        <v>509</v>
      </c>
      <c r="I405" s="232"/>
      <c r="J405" s="289"/>
      <c r="K405" s="289"/>
      <c r="L405" s="289"/>
      <c r="N405" s="300"/>
      <c r="Q405" s="232"/>
      <c r="R405" s="232"/>
    </row>
    <row r="406" spans="3:29" ht="12" x14ac:dyDescent="0.2">
      <c r="C406" s="100">
        <v>1</v>
      </c>
      <c r="D406" s="301" t="s">
        <v>194</v>
      </c>
      <c r="E406" s="213">
        <f>LEFT('Planes y paquetes'!O411,FIND(" ",'Planes y paquetes'!O411))*1</f>
        <v>80</v>
      </c>
      <c r="F406" s="213">
        <f>LEFT('Planes y paquetes'!P411,FIND(" ",'Planes y paquetes'!P411))*1</f>
        <v>80</v>
      </c>
      <c r="G406" s="170">
        <f>VLOOKUP(D406,'Planes y paquetes'!$C$391:$P$432,4,FALSE)</f>
        <v>336.9</v>
      </c>
      <c r="H406" s="302">
        <f t="shared" ref="H406:H413" si="67">INDEX(vector.implicit.prices.broadband.after.discount,MATCH($D406,vector.plans.names,0))</f>
        <v>118</v>
      </c>
      <c r="I406" s="303"/>
      <c r="J406" s="304"/>
      <c r="K406" s="303"/>
      <c r="L406" s="305"/>
      <c r="N406" s="306"/>
      <c r="O406" s="307"/>
      <c r="R406" s="292"/>
    </row>
    <row r="407" spans="3:29" ht="12" x14ac:dyDescent="0.2">
      <c r="C407" s="93">
        <f t="shared" ref="C407:C413" si="68">C406+1</f>
        <v>2</v>
      </c>
      <c r="D407" s="301" t="s">
        <v>196</v>
      </c>
      <c r="E407" s="213">
        <f>LEFT('Planes y paquetes'!O412,FIND(" ",'Planes y paquetes'!O412))*1</f>
        <v>150</v>
      </c>
      <c r="F407" s="213">
        <f>LEFT('Planes y paquetes'!P412,FIND(" ",'Planes y paquetes'!P412))*1</f>
        <v>150</v>
      </c>
      <c r="G407" s="170">
        <f>VLOOKUP(D407,'Planes y paquetes'!$C$391:$P$432,4,FALSE)</f>
        <v>463.55</v>
      </c>
      <c r="H407" s="302">
        <f t="shared" si="67"/>
        <v>296</v>
      </c>
      <c r="I407" s="303"/>
      <c r="J407" s="304"/>
      <c r="K407" s="303"/>
      <c r="L407" s="305"/>
      <c r="N407" s="306"/>
      <c r="O407" s="307"/>
      <c r="R407" s="292"/>
    </row>
    <row r="408" spans="3:29" ht="12" x14ac:dyDescent="0.2">
      <c r="C408" s="93">
        <f t="shared" si="68"/>
        <v>3</v>
      </c>
      <c r="D408" s="166" t="s">
        <v>198</v>
      </c>
      <c r="E408" s="213">
        <f>LEFT('Planes y paquetes'!O413,FIND(" ",'Planes y paquetes'!O413))*1</f>
        <v>250</v>
      </c>
      <c r="F408" s="213">
        <f>LEFT('Planes y paquetes'!P413,FIND(" ",'Planes y paquetes'!P413))*1</f>
        <v>250</v>
      </c>
      <c r="G408" s="170">
        <f>VLOOKUP(D408,'Planes y paquetes'!$C$391:$P$432,4,FALSE)</f>
        <v>547.98</v>
      </c>
      <c r="H408" s="302">
        <f t="shared" si="67"/>
        <v>367</v>
      </c>
      <c r="I408" s="303"/>
      <c r="J408" s="304"/>
      <c r="K408" s="303"/>
      <c r="L408" s="305"/>
      <c r="N408" s="306"/>
      <c r="O408" s="307"/>
      <c r="R408" s="292"/>
    </row>
    <row r="409" spans="3:29" ht="12" x14ac:dyDescent="0.2">
      <c r="C409" s="93">
        <f t="shared" si="68"/>
        <v>4</v>
      </c>
      <c r="D409" s="301" t="s">
        <v>510</v>
      </c>
      <c r="E409" s="213">
        <f>LEFT('Planes y paquetes'!O414,FIND(" ",'Planes y paquetes'!O414))*1</f>
        <v>350</v>
      </c>
      <c r="F409" s="213">
        <f>LEFT('Planes y paquetes'!P414,FIND(" ",'Planes y paquetes'!P414))*1</f>
        <v>350</v>
      </c>
      <c r="G409" s="170">
        <f>VLOOKUP(D409,'Planes y paquetes'!$C$391:$P$432,4,FALSE)</f>
        <v>674.64</v>
      </c>
      <c r="H409" s="302">
        <f t="shared" si="67"/>
        <v>449</v>
      </c>
      <c r="I409" s="303"/>
      <c r="J409" s="304"/>
      <c r="K409" s="303"/>
      <c r="L409" s="305"/>
      <c r="N409" s="306"/>
      <c r="O409" s="307"/>
    </row>
    <row r="410" spans="3:29" ht="12" x14ac:dyDescent="0.2">
      <c r="C410" s="93">
        <f t="shared" si="68"/>
        <v>5</v>
      </c>
      <c r="D410" s="166" t="s">
        <v>202</v>
      </c>
      <c r="E410" s="213">
        <f>LEFT('Planes y paquetes'!O415,FIND(" ",'Planes y paquetes'!O415))*1</f>
        <v>500</v>
      </c>
      <c r="F410" s="213">
        <f>LEFT('Planes y paquetes'!P415,FIND(" ",'Planes y paquetes'!P415))*1</f>
        <v>350</v>
      </c>
      <c r="G410" s="170">
        <f>VLOOKUP(D410,'Planes y paquetes'!$C$391:$P$432,4,FALSE)</f>
        <v>843.5</v>
      </c>
      <c r="H410" s="302">
        <f t="shared" si="67"/>
        <v>524</v>
      </c>
      <c r="I410" s="303"/>
      <c r="J410" s="304"/>
      <c r="K410" s="303"/>
      <c r="L410" s="305"/>
      <c r="N410" s="306"/>
      <c r="O410" s="307"/>
    </row>
    <row r="411" spans="3:29" ht="12" x14ac:dyDescent="0.2">
      <c r="C411" s="93">
        <f t="shared" si="68"/>
        <v>6</v>
      </c>
      <c r="D411" s="308" t="s">
        <v>203</v>
      </c>
      <c r="E411" s="213">
        <f>LEFT('Planes y paquetes'!O416,FIND(" ",'Planes y paquetes'!O416))*1</f>
        <v>750</v>
      </c>
      <c r="F411" s="213">
        <f>LEFT('Planes y paquetes'!P416,FIND(" ",'Planes y paquetes'!P416))*1</f>
        <v>350</v>
      </c>
      <c r="G411" s="170">
        <f>VLOOKUP(D411,'Planes y paquetes'!$C$391:$P$432,4,FALSE)</f>
        <v>1265.6600000000001</v>
      </c>
      <c r="H411" s="302">
        <f t="shared" si="67"/>
        <v>782</v>
      </c>
      <c r="I411" s="303"/>
      <c r="J411" s="304"/>
      <c r="K411" s="303"/>
      <c r="L411" s="305"/>
      <c r="N411" s="306"/>
      <c r="O411" s="307"/>
      <c r="Q411" s="101"/>
    </row>
    <row r="412" spans="3:29" ht="12" x14ac:dyDescent="0.2">
      <c r="C412" s="93">
        <f t="shared" si="68"/>
        <v>7</v>
      </c>
      <c r="D412" s="308" t="s">
        <v>204</v>
      </c>
      <c r="E412" s="213">
        <f>LEFT('Planes y paquetes'!O417,FIND(" ",'Planes y paquetes'!O417))*1</f>
        <v>750</v>
      </c>
      <c r="F412" s="213">
        <f>LEFT('Planes y paquetes'!P417,FIND(" ",'Planes y paquetes'!P417))*1</f>
        <v>350</v>
      </c>
      <c r="G412" s="170">
        <f>VLOOKUP(D412,'Planes y paquetes'!$C$391:$P$432,4,FALSE)</f>
        <v>1510.52</v>
      </c>
      <c r="H412" s="302">
        <f t="shared" si="67"/>
        <v>1205</v>
      </c>
      <c r="I412" s="303"/>
      <c r="J412" s="304"/>
      <c r="K412" s="303"/>
      <c r="L412" s="305"/>
      <c r="N412" s="306"/>
      <c r="O412" s="307"/>
      <c r="R412" s="309"/>
    </row>
    <row r="413" spans="3:29" ht="12.6" thickBot="1" x14ac:dyDescent="0.25">
      <c r="C413" s="93">
        <f t="shared" si="68"/>
        <v>8</v>
      </c>
      <c r="D413" s="308" t="s">
        <v>205</v>
      </c>
      <c r="E413" s="213">
        <f>LEFT('Planes y paquetes'!O418,FIND(" ",'Planes y paquetes'!O418))*1</f>
        <v>1000</v>
      </c>
      <c r="F413" s="213">
        <f>LEFT('Planes y paquetes'!P418,FIND(" ",'Planes y paquetes'!P418))*1</f>
        <v>350</v>
      </c>
      <c r="G413" s="170">
        <f>VLOOKUP(D413,'Planes y paquetes'!$C$391:$P$432,4,FALSE)</f>
        <v>1932.69</v>
      </c>
      <c r="H413" s="302">
        <f t="shared" si="67"/>
        <v>1920</v>
      </c>
      <c r="I413" s="303"/>
      <c r="J413" s="304"/>
      <c r="K413" s="303"/>
      <c r="L413" s="305"/>
      <c r="N413" s="306"/>
      <c r="O413" s="307"/>
      <c r="R413" s="292"/>
    </row>
    <row r="414" spans="3:29" x14ac:dyDescent="0.2">
      <c r="C414" s="53"/>
      <c r="D414" s="310"/>
      <c r="E414" s="53"/>
      <c r="F414" s="310"/>
      <c r="G414" s="310"/>
      <c r="H414" s="311"/>
      <c r="I414" s="311"/>
      <c r="J414" s="311"/>
      <c r="K414" s="311"/>
    </row>
    <row r="415" spans="3:29" ht="12" x14ac:dyDescent="0.2">
      <c r="C415" s="101" t="s">
        <v>511</v>
      </c>
    </row>
    <row r="416" spans="3:29" ht="38.1" customHeight="1" x14ac:dyDescent="0.2">
      <c r="D416" s="43" t="s">
        <v>309</v>
      </c>
      <c r="E416" s="43" t="s">
        <v>215</v>
      </c>
      <c r="F416" s="222" t="s">
        <v>491</v>
      </c>
      <c r="G416" s="43" t="s">
        <v>512</v>
      </c>
      <c r="H416" s="312"/>
      <c r="I416" s="43" t="s">
        <v>513</v>
      </c>
      <c r="J416" s="43" t="s">
        <v>514</v>
      </c>
      <c r="L416" s="533" t="s">
        <v>515</v>
      </c>
      <c r="M416" s="533"/>
      <c r="N416" s="533"/>
      <c r="O416" s="533"/>
    </row>
    <row r="417" spans="1:62" ht="12" x14ac:dyDescent="0.2">
      <c r="C417" s="100">
        <v>1</v>
      </c>
      <c r="D417" s="313" t="s">
        <v>494</v>
      </c>
      <c r="E417" t="s">
        <v>516</v>
      </c>
      <c r="F417" s="314">
        <f t="shared" ref="F417:F424" si="69">E395</f>
        <v>80</v>
      </c>
      <c r="G417" s="315">
        <f t="shared" ref="G417:G424" si="70">F395/H406</f>
        <v>1.4611016949152542</v>
      </c>
      <c r="H417" s="316"/>
      <c r="I417" s="317">
        <f t="shared" ref="I417:I424" si="71">VLOOKUP(F417,$D$211:$G$222,4,FALSE)</f>
        <v>271.5673316841536</v>
      </c>
      <c r="J417" s="318">
        <f t="shared" ref="J417:J424" si="72">I417*(1+G417)</f>
        <v>668.35482029148352</v>
      </c>
      <c r="K417" s="230"/>
      <c r="L417" t="s">
        <v>517</v>
      </c>
      <c r="M417" s="230">
        <f>INDEX(LINEST(LN($J$417:$J$424),LN($F$417:$F$424)),1)</f>
        <v>0.22765663804496883</v>
      </c>
    </row>
    <row r="418" spans="1:62" ht="12" x14ac:dyDescent="0.2">
      <c r="C418" s="93">
        <f>C417+1</f>
        <v>2</v>
      </c>
      <c r="D418" s="313" t="s">
        <v>496</v>
      </c>
      <c r="E418" t="s">
        <v>518</v>
      </c>
      <c r="F418" s="314">
        <f t="shared" si="69"/>
        <v>150</v>
      </c>
      <c r="G418" s="315">
        <f t="shared" si="70"/>
        <v>0.72810810810810811</v>
      </c>
      <c r="H418" s="316"/>
      <c r="I418" s="317">
        <f t="shared" si="71"/>
        <v>334.46218880319464</v>
      </c>
      <c r="J418" s="318">
        <f t="shared" si="72"/>
        <v>577.98682032638555</v>
      </c>
      <c r="K418" s="230"/>
      <c r="L418" t="s">
        <v>519</v>
      </c>
      <c r="M418" s="230">
        <f>INDEX(LINEST(LN($J$417:$J$424),LN($F$417:$F$424)),2)</f>
        <v>5.3763859107801126</v>
      </c>
    </row>
    <row r="419" spans="1:62" ht="12" x14ac:dyDescent="0.2">
      <c r="C419" s="93">
        <f t="shared" ref="C419:C424" si="73">C418+1</f>
        <v>3</v>
      </c>
      <c r="D419" s="166" t="s">
        <v>198</v>
      </c>
      <c r="F419" s="314">
        <f t="shared" si="69"/>
        <v>250</v>
      </c>
      <c r="G419" s="315">
        <f t="shared" si="70"/>
        <v>0.65771117166212534</v>
      </c>
      <c r="H419" s="316"/>
      <c r="I419" s="317">
        <f t="shared" si="71"/>
        <v>434.11960351268021</v>
      </c>
      <c r="J419" s="318">
        <f t="shared" si="72"/>
        <v>719.64491658050247</v>
      </c>
      <c r="K419" s="230"/>
      <c r="M419" s="230"/>
    </row>
    <row r="420" spans="1:62" ht="12" x14ac:dyDescent="0.2">
      <c r="C420" s="93">
        <f t="shared" si="73"/>
        <v>4</v>
      </c>
      <c r="D420" s="313" t="s">
        <v>520</v>
      </c>
      <c r="E420" t="s">
        <v>521</v>
      </c>
      <c r="F420" s="314">
        <f t="shared" si="69"/>
        <v>350</v>
      </c>
      <c r="G420" s="315">
        <f t="shared" si="70"/>
        <v>0.57601336302895323</v>
      </c>
      <c r="H420" s="316"/>
      <c r="I420" s="317">
        <f t="shared" si="71"/>
        <v>515.48189177719166</v>
      </c>
      <c r="J420" s="318">
        <f t="shared" si="72"/>
        <v>812.40634984029873</v>
      </c>
      <c r="K420" s="230"/>
    </row>
    <row r="421" spans="1:62" ht="12" x14ac:dyDescent="0.2">
      <c r="C421" s="93">
        <f t="shared" si="73"/>
        <v>5</v>
      </c>
      <c r="D421" s="166" t="s">
        <v>202</v>
      </c>
      <c r="F421" s="314">
        <f t="shared" si="69"/>
        <v>500</v>
      </c>
      <c r="G421" s="315">
        <f t="shared" si="70"/>
        <v>0.57580152671755735</v>
      </c>
      <c r="H421" s="316"/>
      <c r="I421" s="317">
        <f t="shared" si="71"/>
        <v>606.36347183217538</v>
      </c>
      <c r="J421" s="318">
        <f t="shared" si="72"/>
        <v>955.50848465890056</v>
      </c>
      <c r="K421" s="230"/>
    </row>
    <row r="422" spans="1:62" ht="12" x14ac:dyDescent="0.2">
      <c r="C422" s="93">
        <f t="shared" si="73"/>
        <v>6</v>
      </c>
      <c r="D422" s="313" t="s">
        <v>522</v>
      </c>
      <c r="E422" t="s">
        <v>523</v>
      </c>
      <c r="F422" s="314">
        <f t="shared" si="69"/>
        <v>750</v>
      </c>
      <c r="G422" s="315">
        <f t="shared" si="70"/>
        <v>0.44095907928388745</v>
      </c>
      <c r="H422" s="316"/>
      <c r="I422" s="317">
        <f t="shared" si="71"/>
        <v>713.80534858580768</v>
      </c>
      <c r="J422" s="318">
        <f t="shared" si="72"/>
        <v>1028.5642978861197</v>
      </c>
      <c r="K422" s="230"/>
      <c r="M422" s="319"/>
      <c r="N422" s="320"/>
    </row>
    <row r="423" spans="1:62" ht="12" x14ac:dyDescent="0.2">
      <c r="C423" s="93">
        <f t="shared" si="73"/>
        <v>7</v>
      </c>
      <c r="D423" s="313" t="s">
        <v>524</v>
      </c>
      <c r="E423" t="s">
        <v>525</v>
      </c>
      <c r="F423" s="314">
        <f t="shared" si="69"/>
        <v>750</v>
      </c>
      <c r="G423" s="315">
        <f t="shared" si="70"/>
        <v>0.32194190871369294</v>
      </c>
      <c r="H423" s="316"/>
      <c r="I423" s="317">
        <f t="shared" si="71"/>
        <v>713.80534858580768</v>
      </c>
      <c r="J423" s="318">
        <f t="shared" si="72"/>
        <v>943.60920495956555</v>
      </c>
      <c r="K423" s="230"/>
      <c r="L423" s="533" t="s">
        <v>526</v>
      </c>
      <c r="M423" s="533"/>
      <c r="N423" s="533"/>
      <c r="O423" s="533"/>
    </row>
    <row r="424" spans="1:62" ht="12" x14ac:dyDescent="0.2">
      <c r="C424" s="93">
        <f t="shared" si="73"/>
        <v>8</v>
      </c>
      <c r="D424" s="313" t="s">
        <v>527</v>
      </c>
      <c r="E424" t="s">
        <v>528</v>
      </c>
      <c r="F424" s="314">
        <f t="shared" si="69"/>
        <v>1000</v>
      </c>
      <c r="G424" s="315">
        <f t="shared" si="70"/>
        <v>0.22449479166666667</v>
      </c>
      <c r="H424" s="316"/>
      <c r="I424" s="317">
        <f t="shared" si="71"/>
        <v>852.39661160921673</v>
      </c>
      <c r="J424" s="318">
        <f t="shared" si="72"/>
        <v>1043.7552113498004</v>
      </c>
      <c r="K424" s="230"/>
      <c r="L424" t="s">
        <v>517</v>
      </c>
      <c r="M424" s="321">
        <f>M417</f>
        <v>0.22765663804496883</v>
      </c>
      <c r="N424" s="320"/>
    </row>
    <row r="425" spans="1:62" x14ac:dyDescent="0.2">
      <c r="C425" s="217"/>
      <c r="D425" s="311"/>
      <c r="E425" s="217"/>
      <c r="F425" s="311"/>
      <c r="G425" s="311"/>
      <c r="H425" s="311"/>
      <c r="I425" s="311"/>
      <c r="J425" s="311"/>
      <c r="K425" s="311"/>
      <c r="L425" t="s">
        <v>529</v>
      </c>
      <c r="M425" s="322">
        <f>EXP(M418)</f>
        <v>216.23935318645707</v>
      </c>
    </row>
    <row r="426" spans="1:62" ht="12" x14ac:dyDescent="0.2">
      <c r="A426" s="99" t="s">
        <v>358</v>
      </c>
      <c r="B426" s="99" t="s">
        <v>292</v>
      </c>
      <c r="C426" s="76"/>
      <c r="D426" s="76"/>
      <c r="E426" s="76"/>
      <c r="F426" s="76"/>
      <c r="G426" s="76"/>
      <c r="H426" s="76"/>
      <c r="I426" s="76"/>
      <c r="J426" s="76"/>
      <c r="K426" s="76"/>
      <c r="L426" s="76"/>
      <c r="M426" s="76"/>
      <c r="N426" s="76"/>
      <c r="O426" s="76"/>
      <c r="P426" s="76"/>
      <c r="Q426" s="76"/>
      <c r="R426" s="76"/>
      <c r="S426" s="76"/>
      <c r="T426" s="76"/>
      <c r="U426" s="76"/>
      <c r="V426" s="76"/>
      <c r="W426" s="76"/>
      <c r="X426" s="76"/>
      <c r="Y426" s="76"/>
      <c r="Z426" s="76"/>
      <c r="AA426" s="76"/>
      <c r="AB426" s="76"/>
      <c r="AC426" s="76"/>
      <c r="AD426" s="76"/>
      <c r="AE426" s="76"/>
      <c r="AF426" s="76"/>
      <c r="AG426" s="76"/>
      <c r="AH426" s="76"/>
      <c r="AI426" s="76"/>
      <c r="AJ426" s="76"/>
      <c r="AK426" s="76"/>
      <c r="AL426" s="76"/>
      <c r="AM426" s="76"/>
      <c r="AN426" s="76"/>
      <c r="AO426" s="76"/>
      <c r="AP426" s="76"/>
      <c r="AQ426" s="76"/>
      <c r="AR426" s="76"/>
      <c r="AS426" s="76"/>
      <c r="AT426" s="76"/>
      <c r="AU426" s="76"/>
      <c r="AV426" s="76"/>
      <c r="AW426" s="76"/>
      <c r="AX426" s="76"/>
      <c r="AY426" s="76"/>
      <c r="AZ426" s="76"/>
      <c r="BA426" s="76"/>
      <c r="BB426" s="76"/>
      <c r="BC426" s="76"/>
      <c r="BD426" s="76"/>
      <c r="BE426" s="76"/>
      <c r="BF426" s="76"/>
      <c r="BG426" s="76"/>
      <c r="BH426" s="76"/>
      <c r="BI426" s="76"/>
      <c r="BJ426" s="76"/>
    </row>
  </sheetData>
  <mergeCells count="6">
    <mergeCell ref="I209:P209"/>
    <mergeCell ref="S274:T274"/>
    <mergeCell ref="L416:O416"/>
    <mergeCell ref="L423:O423"/>
    <mergeCell ref="G245:H245"/>
    <mergeCell ref="I265:J265"/>
  </mergeCells>
  <conditionalFormatting sqref="Q171:V182 X171:AF182 AJ171:AK182">
    <cfRule type="colorScale" priority="134">
      <colorScale>
        <cfvo type="min"/>
        <cfvo type="max"/>
        <color rgb="FFFCFCFF"/>
        <color rgb="FF63BE7B"/>
      </colorScale>
    </cfRule>
  </conditionalFormatting>
  <conditionalFormatting sqref="Q144:AL182">
    <cfRule type="colorScale" priority="133">
      <colorScale>
        <cfvo type="min"/>
        <cfvo type="max"/>
        <color rgb="FFFCFCFF"/>
        <color rgb="FF63BE7B"/>
      </colorScale>
    </cfRule>
  </conditionalFormatting>
  <hyperlinks>
    <hyperlink ref="H403" r:id="rId1" display="https://telmex.com/web/negocios/velocidades-simetricas" xr:uid="{18D46DD7-46DE-400F-8662-9D3A863ABB9D}"/>
    <hyperlink ref="K6" r:id="rId2" xr:uid="{BD31A5AE-FFA2-469C-9DCA-79DC1AA8712F}"/>
  </hyperlinks>
  <pageMargins left="0.7" right="0.7" top="0.75" bottom="0.75" header="0.3" footer="0.3"/>
  <pageSetup orientation="portrait" r:id="rId3"/>
  <ignoredErrors>
    <ignoredError sqref="E56:I56 C108:C118 C126:C136 C189:C207 J277:K309 C340:C348 C350:C367 C373:C386 C396:C402 C407:C413 C418:C424 F417:G424 E17:F17 F188:I188 F234:F236 I7:I10 J33:J50 J26:J32 Q144:AL175 H125:H126 E249:E251 E263:F264 F269:H270 C277:C314 C145:C182 C64:C101 C18:C55 F63:J101 E107:E118 H107:I118 I144:K177 F144:H182 Q176:W177 Y176:AL177 Q178:AL182 C211:C212 J276:K276 H276:I314 J310:K314 J18:J25 J17 E18:I55 G17:I17 J51:J55 G107:G118 F107:F118 I178:K182 H190:I190 H189:I189 H195:I195 H191:I191 H192:I192 H193:I194 H198:I198 H196:I196 H197:I197 H200:I200 H199:I199 H202:I202 H201:I201 H204:I204 H203:I203 H207:I207 H205:I205 H206:I206 G204 G202 G200 G198 G195 G190 F189:G189 F191:G194 F190 F196:G197 F195 F199:G199 F198 F201:G201 F200 F203:G203 F202 F205:G207 F204" unlockedFormula="1"/>
    <ignoredError sqref="G241:H243" formulaRange="1"/>
  </ignoredErrors>
  <drawing r:id="rId4"/>
  <legacyDrawing r:id="rId5"/>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6DA372-B923-4D3B-A43B-F70D24FD1F4C}">
  <sheetPr codeName="Hoja8"/>
  <dimension ref="A1:BH76"/>
  <sheetViews>
    <sheetView showGridLines="0" zoomScale="85" zoomScaleNormal="85" workbookViewId="0">
      <pane xSplit="8" ySplit="3" topLeftCell="K4" activePane="bottomRight" state="frozen"/>
      <selection activeCell="H120" sqref="H120"/>
      <selection pane="topRight" activeCell="H120" sqref="H120"/>
      <selection pane="bottomLeft" activeCell="H120" sqref="H120"/>
      <selection pane="bottomRight" activeCell="T58" sqref="T58"/>
    </sheetView>
  </sheetViews>
  <sheetFormatPr baseColWidth="10" defaultRowHeight="11.4" outlineLevelRow="1" x14ac:dyDescent="0.2"/>
  <cols>
    <col min="1" max="1" width="3" bestFit="1" customWidth="1"/>
    <col min="2" max="2" width="4.875" customWidth="1"/>
    <col min="3" max="3" width="11.125" customWidth="1"/>
    <col min="4" max="4" width="4.125" customWidth="1"/>
    <col min="5" max="5" width="7.875" customWidth="1"/>
    <col min="6" max="6" width="6.375" customWidth="1"/>
    <col min="7" max="7" width="45.875" bestFit="1" customWidth="1"/>
    <col min="8" max="8" width="26.875" customWidth="1"/>
    <col min="9" max="49" width="22.125" customWidth="1"/>
    <col min="50" max="50" width="16.75" customWidth="1"/>
    <col min="51" max="51" width="12" bestFit="1" customWidth="1"/>
    <col min="52" max="52" width="11.875" bestFit="1" customWidth="1"/>
    <col min="53" max="53" width="22.75" customWidth="1"/>
    <col min="54" max="54" width="18.125" customWidth="1"/>
  </cols>
  <sheetData>
    <row r="1" spans="1:60" s="87" customFormat="1" ht="28.2" x14ac:dyDescent="0.2">
      <c r="D1" s="87" t="s">
        <v>530</v>
      </c>
    </row>
    <row r="2" spans="1:60" s="87" customFormat="1" ht="9" customHeight="1" outlineLevel="1" x14ac:dyDescent="0.2">
      <c r="A2" s="130"/>
      <c r="B2" s="131"/>
      <c r="C2" s="131"/>
      <c r="D2" s="131"/>
      <c r="E2" s="131"/>
      <c r="F2" s="131"/>
      <c r="G2" s="131"/>
      <c r="H2" s="323"/>
      <c r="I2" s="324">
        <v>1</v>
      </c>
      <c r="J2" s="324">
        <f>I2+1</f>
        <v>2</v>
      </c>
      <c r="K2" s="324">
        <f t="shared" ref="K2:AW2" si="0">J2+1</f>
        <v>3</v>
      </c>
      <c r="L2" s="324">
        <f t="shared" si="0"/>
        <v>4</v>
      </c>
      <c r="M2" s="324">
        <f t="shared" si="0"/>
        <v>5</v>
      </c>
      <c r="N2" s="324">
        <f t="shared" si="0"/>
        <v>6</v>
      </c>
      <c r="O2" s="324">
        <f t="shared" si="0"/>
        <v>7</v>
      </c>
      <c r="P2" s="324">
        <f t="shared" si="0"/>
        <v>8</v>
      </c>
      <c r="Q2" s="324">
        <f t="shared" si="0"/>
        <v>9</v>
      </c>
      <c r="R2" s="324">
        <f t="shared" si="0"/>
        <v>10</v>
      </c>
      <c r="S2" s="324">
        <f t="shared" si="0"/>
        <v>11</v>
      </c>
      <c r="T2" s="324">
        <f t="shared" si="0"/>
        <v>12</v>
      </c>
      <c r="U2" s="324">
        <f t="shared" si="0"/>
        <v>13</v>
      </c>
      <c r="V2" s="324">
        <f t="shared" si="0"/>
        <v>14</v>
      </c>
      <c r="W2" s="324">
        <f t="shared" si="0"/>
        <v>15</v>
      </c>
      <c r="X2" s="324">
        <f t="shared" si="0"/>
        <v>16</v>
      </c>
      <c r="Y2" s="324">
        <f t="shared" si="0"/>
        <v>17</v>
      </c>
      <c r="Z2" s="324">
        <f t="shared" si="0"/>
        <v>18</v>
      </c>
      <c r="AA2" s="324">
        <f t="shared" si="0"/>
        <v>19</v>
      </c>
      <c r="AB2" s="324">
        <f t="shared" si="0"/>
        <v>20</v>
      </c>
      <c r="AC2" s="324">
        <f t="shared" si="0"/>
        <v>21</v>
      </c>
      <c r="AD2" s="324">
        <f t="shared" si="0"/>
        <v>22</v>
      </c>
      <c r="AE2" s="324">
        <f t="shared" si="0"/>
        <v>23</v>
      </c>
      <c r="AF2" s="324">
        <f t="shared" si="0"/>
        <v>24</v>
      </c>
      <c r="AG2" s="324">
        <f t="shared" si="0"/>
        <v>25</v>
      </c>
      <c r="AH2" s="324">
        <f t="shared" si="0"/>
        <v>26</v>
      </c>
      <c r="AI2" s="324">
        <f t="shared" si="0"/>
        <v>27</v>
      </c>
      <c r="AJ2" s="324">
        <f t="shared" si="0"/>
        <v>28</v>
      </c>
      <c r="AK2" s="324">
        <f t="shared" si="0"/>
        <v>29</v>
      </c>
      <c r="AL2" s="324">
        <f t="shared" si="0"/>
        <v>30</v>
      </c>
      <c r="AM2" s="324">
        <f t="shared" si="0"/>
        <v>31</v>
      </c>
      <c r="AN2" s="324">
        <f t="shared" si="0"/>
        <v>32</v>
      </c>
      <c r="AO2" s="324">
        <f t="shared" si="0"/>
        <v>33</v>
      </c>
      <c r="AP2" s="324">
        <f t="shared" si="0"/>
        <v>34</v>
      </c>
      <c r="AQ2" s="324">
        <f t="shared" si="0"/>
        <v>35</v>
      </c>
      <c r="AR2" s="324">
        <f t="shared" si="0"/>
        <v>36</v>
      </c>
      <c r="AS2" s="324">
        <f t="shared" si="0"/>
        <v>37</v>
      </c>
      <c r="AT2" s="324">
        <f>AS2+1</f>
        <v>38</v>
      </c>
      <c r="AU2" s="324">
        <f t="shared" si="0"/>
        <v>39</v>
      </c>
      <c r="AV2" s="324">
        <f t="shared" si="0"/>
        <v>40</v>
      </c>
      <c r="AW2" s="324">
        <f t="shared" si="0"/>
        <v>41</v>
      </c>
    </row>
    <row r="3" spans="1:60" ht="36.6" customHeight="1" x14ac:dyDescent="0.2">
      <c r="A3" s="43"/>
      <c r="B3" s="43"/>
      <c r="C3" s="43" t="s">
        <v>212</v>
      </c>
      <c r="D3" s="43"/>
      <c r="E3" s="43"/>
      <c r="F3" s="43"/>
      <c r="G3" s="43" t="s">
        <v>213</v>
      </c>
      <c r="H3" s="325"/>
      <c r="I3" s="325" t="str">
        <f t="array" ref="I3:AW3">TRANSPOSE(vector.plans.names)</f>
        <v>Renta Mensual de la Línea Residencial</v>
      </c>
      <c r="J3" s="325" t="str">
        <v>Renta Mensual de la Línea Comercial</v>
      </c>
      <c r="K3" s="325" t="str">
        <v>Paquete 249</v>
      </c>
      <c r="L3" s="325" t="str">
        <v>Paquete 289</v>
      </c>
      <c r="M3" s="325" t="str">
        <v>Paquete 333</v>
      </c>
      <c r="N3" s="325" t="str">
        <v>Paquete 389</v>
      </c>
      <c r="O3" s="325" t="str">
        <v>Paquete 435</v>
      </c>
      <c r="P3" s="325" t="str">
        <v>Paquete 499</v>
      </c>
      <c r="Q3" s="325" t="str">
        <v>Paquete 599</v>
      </c>
      <c r="R3" s="325" t="str">
        <v>Paquete 649</v>
      </c>
      <c r="S3" s="325" t="str">
        <v>Paquetre 725</v>
      </c>
      <c r="T3" s="325" t="str">
        <v>Paquete Infinitum 999</v>
      </c>
      <c r="U3" s="325" t="str">
        <v>Paquete 1399</v>
      </c>
      <c r="V3" s="325" t="str">
        <v>Infinitum 279</v>
      </c>
      <c r="W3" s="325" t="str">
        <v>Infinitum 299 R</v>
      </c>
      <c r="X3" s="325" t="str">
        <v>Infinitum 349</v>
      </c>
      <c r="Y3" s="325" t="str">
        <v>Infinitum 399</v>
      </c>
      <c r="Z3" s="325" t="str">
        <v>Infinitum 449</v>
      </c>
      <c r="AA3" s="325" t="str">
        <v>Infinitum 499</v>
      </c>
      <c r="AB3" s="325" t="str">
        <v>Infinitum 549</v>
      </c>
      <c r="AC3" s="325" t="str">
        <v>Infinitum 649</v>
      </c>
      <c r="AD3" s="325" t="str">
        <v>Infinitum 899</v>
      </c>
      <c r="AE3" s="325" t="str">
        <v>Paquete Conectes Negocio</v>
      </c>
      <c r="AF3" s="325" t="str">
        <v>Paquete Mi Negocio</v>
      </c>
      <c r="AG3" s="325" t="str">
        <v>Paquete Negocio 649</v>
      </c>
      <c r="AH3" s="325" t="str">
        <v>Paquete Supernegocio</v>
      </c>
      <c r="AI3" s="325" t="str">
        <v>Paquete Negocio 999</v>
      </c>
      <c r="AJ3" s="325" t="str">
        <v>Paquete Telmex Negocio Ilimitado 1</v>
      </c>
      <c r="AK3" s="325" t="str">
        <v>Paquete Telmex Negocio Ilimitado 2</v>
      </c>
      <c r="AL3" s="325" t="str">
        <v>Paquete Telmex Negocio Ilimitado 3</v>
      </c>
      <c r="AM3" s="325" t="str">
        <v>Infinitum 299 N</v>
      </c>
      <c r="AN3" s="325" t="str">
        <v>Infinitum Negocio 349</v>
      </c>
      <c r="AO3" s="325" t="str">
        <v>Infinitum Negocio 399</v>
      </c>
      <c r="AP3" s="325" t="str">
        <v>Infinitum Negocio 449</v>
      </c>
      <c r="AQ3" s="325" t="str">
        <v>Infinitum Negocio 499</v>
      </c>
      <c r="AR3" s="325" t="str">
        <v>Infinitum Negocio 549</v>
      </c>
      <c r="AS3" s="43" t="str">
        <v>Infinitum Negocio 649</v>
      </c>
      <c r="AT3" s="43" t="str">
        <v>Infinitum Negocio 899</v>
      </c>
      <c r="AU3" s="43" t="str">
        <v>Infinitum Negocio</v>
      </c>
      <c r="AV3" s="43" t="str">
        <v>Infinitum Negocio Red</v>
      </c>
      <c r="AW3" s="43" t="str">
        <v>Infinitum Negocio Premium</v>
      </c>
      <c r="BA3" s="43" t="s">
        <v>531</v>
      </c>
      <c r="BB3" s="43" t="s">
        <v>215</v>
      </c>
      <c r="BC3" s="43"/>
      <c r="BD3" s="43"/>
      <c r="BE3" s="43"/>
      <c r="BF3" s="43"/>
      <c r="BG3" s="43"/>
      <c r="BH3" s="43"/>
    </row>
    <row r="4" spans="1:60" ht="12" x14ac:dyDescent="0.2">
      <c r="A4" s="99">
        <v>1</v>
      </c>
      <c r="B4" s="99" t="s">
        <v>532</v>
      </c>
      <c r="C4" s="99"/>
      <c r="D4" s="76"/>
      <c r="E4" s="76"/>
      <c r="F4" s="76"/>
      <c r="G4" s="326" t="s">
        <v>213</v>
      </c>
      <c r="H4" s="76"/>
      <c r="I4" s="327"/>
      <c r="J4" s="327"/>
      <c r="K4" s="327"/>
      <c r="L4" s="327"/>
      <c r="M4" s="327"/>
      <c r="N4" s="327"/>
      <c r="O4" s="327"/>
      <c r="P4" s="327"/>
      <c r="Q4" s="327"/>
      <c r="R4" s="327"/>
      <c r="S4" s="327"/>
      <c r="T4" s="327"/>
      <c r="U4" s="327"/>
      <c r="V4" s="327"/>
      <c r="W4" s="327"/>
      <c r="X4" s="327"/>
      <c r="Y4" s="327"/>
      <c r="Z4" s="327"/>
      <c r="AA4" s="327"/>
      <c r="AB4" s="327"/>
      <c r="AC4" s="327"/>
      <c r="AD4" s="327"/>
      <c r="AE4" s="327"/>
      <c r="AF4" s="327"/>
      <c r="AG4" s="327"/>
      <c r="AH4" s="327"/>
      <c r="AI4" s="327"/>
      <c r="AJ4" s="327"/>
      <c r="AK4" s="327"/>
      <c r="AL4" s="327"/>
      <c r="AM4" s="327"/>
      <c r="AN4" s="327"/>
      <c r="AO4" s="327"/>
      <c r="AP4" s="327"/>
      <c r="AQ4" s="327"/>
      <c r="AR4" s="327"/>
      <c r="AS4" s="327"/>
      <c r="AT4" s="327"/>
      <c r="AU4" s="327"/>
      <c r="AV4" s="327"/>
      <c r="AW4" s="327"/>
      <c r="AX4" s="327"/>
    </row>
    <row r="5" spans="1:60" ht="12" x14ac:dyDescent="0.2">
      <c r="C5" s="101" t="s">
        <v>470</v>
      </c>
      <c r="G5" s="19" t="s">
        <v>533</v>
      </c>
      <c r="H5" t="s">
        <v>534</v>
      </c>
      <c r="I5" s="94" t="str">
        <f>IFERROR(VLOOKUP(I$3,'Planes y paquetes'!$C$197:$J$198,3,FALSE),"")</f>
        <v>Telefonía fija</v>
      </c>
      <c r="J5" s="94" t="str">
        <f>IFERROR(VLOOKUP(J$3,'Planes y paquetes'!$C$197:$J$198,3,FALSE),"")</f>
        <v>Telefonía fija</v>
      </c>
      <c r="K5" s="94" t="str">
        <f>IFERROR(VLOOKUP(K$3,'Planes y paquetes'!$C$391:$BW$429,3,FALSE),"")</f>
        <v>Telefonía fija + Internet fijo</v>
      </c>
      <c r="L5" s="94" t="str">
        <f>IFERROR(VLOOKUP(L$3,'Planes y paquetes'!$C$391:$BW$429,3,FALSE),"")</f>
        <v>Telefonía fija + Internet fijo</v>
      </c>
      <c r="M5" s="94" t="str">
        <f>IFERROR(VLOOKUP(M$3,'Planes y paquetes'!$C$391:$BW$429,3,FALSE),"")</f>
        <v>Telefonía fija + Internet fijo</v>
      </c>
      <c r="N5" s="94" t="str">
        <f>IFERROR(VLOOKUP(N$3,'Planes y paquetes'!$C$391:$BW$429,3,FALSE),"")</f>
        <v>Telefonía fija + Internet fijo</v>
      </c>
      <c r="O5" s="94" t="str">
        <f>IFERROR(VLOOKUP(O$3,'Planes y paquetes'!$C$391:$BW$429,3,FALSE),"")</f>
        <v>Telefonía fija + Internet fijo</v>
      </c>
      <c r="P5" s="94" t="str">
        <f>IFERROR(VLOOKUP(P$3,'Planes y paquetes'!$C$391:$BW$429,3,FALSE),"")</f>
        <v>Telefonía fija + Internet fijo</v>
      </c>
      <c r="Q5" s="94" t="str">
        <f>IFERROR(VLOOKUP(Q$3,'Planes y paquetes'!$C$391:$BW$429,3,FALSE),"")</f>
        <v>Telefonía fija + Internet fijo</v>
      </c>
      <c r="R5" s="94" t="str">
        <f>IFERROR(VLOOKUP(R$3,'Planes y paquetes'!$C$391:$BW$429,3,FALSE),"")</f>
        <v>Telefonía fija + Internet fijo</v>
      </c>
      <c r="S5" s="94" t="str">
        <f>IFERROR(VLOOKUP(S$3,'Planes y paquetes'!$C$391:$BW$429,3,FALSE),"")</f>
        <v>Telefonía fija + Internet fijo</v>
      </c>
      <c r="T5" s="94" t="str">
        <f>IFERROR(VLOOKUP(T$3,'Planes y paquetes'!$C$391:$BW$429,3,FALSE),"")</f>
        <v>Telefonía fija + Internet fijo</v>
      </c>
      <c r="U5" s="94" t="str">
        <f>IFERROR(VLOOKUP(U$3,'Planes y paquetes'!$C$391:$BW$429,3,FALSE),"")</f>
        <v>Telefonía fija + Internet fijo</v>
      </c>
      <c r="V5" s="94" t="str">
        <f>IFERROR(VLOOKUP(V$3,'Planes y paquetes'!$C$391:$BW$429,3,FALSE),"")</f>
        <v>Internet fijo</v>
      </c>
      <c r="W5" s="94" t="str">
        <f>IFERROR(VLOOKUP(W$3,'Planes y paquetes'!$C$391:$BW$429,3,FALSE),"")</f>
        <v>Internet fijo</v>
      </c>
      <c r="X5" s="94" t="str">
        <f>IFERROR(VLOOKUP(X$3,'Planes y paquetes'!$C$391:$BW$429,3,FALSE),"")</f>
        <v>Internet fijo</v>
      </c>
      <c r="Y5" s="94" t="str">
        <f>IFERROR(VLOOKUP(Y$3,'Planes y paquetes'!$C$391:$BW$429,3,FALSE),"")</f>
        <v>Internet fijo</v>
      </c>
      <c r="Z5" s="94" t="str">
        <f>IFERROR(VLOOKUP(Z$3,'Planes y paquetes'!$C$391:$BW$429,3,FALSE),"")</f>
        <v>Internet fijo</v>
      </c>
      <c r="AA5" s="94" t="str">
        <f>IFERROR(VLOOKUP(AA$3,'Planes y paquetes'!$C$391:$BW$429,3,FALSE),"")</f>
        <v>Internet fijo</v>
      </c>
      <c r="AB5" s="94" t="str">
        <f>IFERROR(VLOOKUP(AB$3,'Planes y paquetes'!$C$391:$BW$429,3,FALSE),"")</f>
        <v>Internet fijo</v>
      </c>
      <c r="AC5" s="94" t="str">
        <f>IFERROR(VLOOKUP(AC$3,'Planes y paquetes'!$C$391:$BW$429,3,FALSE),"")</f>
        <v>Internet fijo</v>
      </c>
      <c r="AD5" s="94" t="str">
        <f>IFERROR(VLOOKUP(AD$3,'Planes y paquetes'!$C$391:$BW$429,3,FALSE),"")</f>
        <v>Internet fijo</v>
      </c>
      <c r="AE5" s="94" t="str">
        <f>IFERROR(VLOOKUP(AE$3,'Planes y paquetes'!$C$391:$BW$429,3,FALSE),"")</f>
        <v>Telefonía fija + Internet fijo</v>
      </c>
      <c r="AF5" s="94" t="str">
        <f>IFERROR(VLOOKUP(AF$3,'Planes y paquetes'!$C$391:$BW$429,3,FALSE),"")</f>
        <v>Telefonía fija + Internet fijo</v>
      </c>
      <c r="AG5" s="94" t="str">
        <f>IFERROR(VLOOKUP(AG$3,'Planes y paquetes'!$C$391:$BW$429,3,FALSE),"")</f>
        <v>Telefonía fija + Internet fijo</v>
      </c>
      <c r="AH5" s="94" t="str">
        <f>IFERROR(VLOOKUP(AH$3,'Planes y paquetes'!$C$391:$BW$429,3,FALSE),"")</f>
        <v>Telefonía fija + Internet fijo</v>
      </c>
      <c r="AI5" s="94" t="str">
        <f>IFERROR(VLOOKUP(AI$3,'Planes y paquetes'!$C$391:$BW$429,3,FALSE),"")</f>
        <v>Telefonía fija + Internet fijo</v>
      </c>
      <c r="AJ5" s="94" t="str">
        <f>IFERROR(VLOOKUP(AJ$3,'Planes y paquetes'!$C$391:$BW$429,3,FALSE),"")</f>
        <v>Telefonía fija + Internet fijo</v>
      </c>
      <c r="AK5" s="94" t="str">
        <f>IFERROR(VLOOKUP(AK$3,'Planes y paquetes'!$C$391:$BW$429,3,FALSE),"")</f>
        <v>Telefonía fija + Internet fijo</v>
      </c>
      <c r="AL5" s="94" t="str">
        <f>IFERROR(VLOOKUP(AL$3,'Planes y paquetes'!$C$391:$BW$429,3,FALSE),"")</f>
        <v>Telefonía fija + Internet fijo</v>
      </c>
      <c r="AM5" s="94" t="str">
        <f>IFERROR(VLOOKUP(AM$3,'Planes y paquetes'!$C$391:$BW$429,3,FALSE),"")</f>
        <v>Internet fijo</v>
      </c>
      <c r="AN5" s="94" t="str">
        <f>IFERROR(VLOOKUP(AN$3,'Planes y paquetes'!$C$391:$BW$429,3,FALSE),"")</f>
        <v>Internet fijo</v>
      </c>
      <c r="AO5" s="94" t="str">
        <f>IFERROR(VLOOKUP(AO$3,'Planes y paquetes'!$C$391:$BW$429,3,FALSE),"")</f>
        <v>Internet fijo</v>
      </c>
      <c r="AP5" s="94" t="str">
        <f>IFERROR(VLOOKUP(AP$3,'Planes y paquetes'!$C$391:$BW$429,3,FALSE),"")</f>
        <v>Internet fijo</v>
      </c>
      <c r="AQ5" s="94" t="str">
        <f>IFERROR(VLOOKUP(AQ$3,'Planes y paquetes'!$C$391:$BW$429,3,FALSE),"")</f>
        <v>Internet fijo</v>
      </c>
      <c r="AR5" s="94" t="str">
        <f>IFERROR(VLOOKUP(AR$3,'Planes y paquetes'!$C$391:$BW$429,3,FALSE),"")</f>
        <v>Internet fijo</v>
      </c>
      <c r="AS5" s="94" t="str">
        <f>IFERROR(VLOOKUP(AS$3,'Planes y paquetes'!$C$391:$BW$429,3,FALSE),"")</f>
        <v>Internet fijo</v>
      </c>
      <c r="AT5" s="94" t="str">
        <f>IFERROR(VLOOKUP(AT$3,'Planes y paquetes'!$C$391:$BW$429,3,FALSE),"")</f>
        <v>Internet fijo</v>
      </c>
      <c r="AU5" s="94" t="str">
        <f>IFERROR(VLOOKUP(AU$3,'Planes y paquetes'!$C$391:$BW$429,3,FALSE),"")</f>
        <v>Internet fijo</v>
      </c>
      <c r="AV5" s="94" t="str">
        <f>IFERROR(VLOOKUP(AV$3,'Planes y paquetes'!$C$391:$BW$429,3,FALSE),"")</f>
        <v>Internet fijo</v>
      </c>
      <c r="AW5" s="94" t="str">
        <f>IFERROR(VLOOKUP(AW$3,'Planes y paquetes'!$C$391:$BW$429,3,FALSE),"")</f>
        <v>Internet fijo</v>
      </c>
    </row>
    <row r="7" spans="1:60" ht="12" x14ac:dyDescent="0.2">
      <c r="C7" s="101" t="s">
        <v>535</v>
      </c>
      <c r="G7" s="19" t="s">
        <v>536</v>
      </c>
      <c r="H7" t="s">
        <v>534</v>
      </c>
      <c r="I7" s="94" t="str">
        <f>IFERROR(VLOOKUP(I$3,'Planes y paquetes'!$C$197:$J$198,2,FALSE),"")</f>
        <v>Residencial</v>
      </c>
      <c r="J7" s="94" t="str">
        <f>IFERROR(VLOOKUP(J$3,'Planes y paquetes'!$C$197:$J$198,2,FALSE),"")</f>
        <v>No Residencial</v>
      </c>
      <c r="K7" s="94" t="str">
        <f>IFERROR(VLOOKUP(K$3,'Planes y paquetes'!$C$391:$BW$429,2,FALSE),"")</f>
        <v>Residencial</v>
      </c>
      <c r="L7" s="94" t="str">
        <f>IFERROR(VLOOKUP(L$3,'Planes y paquetes'!$C$391:$BW$429,2,FALSE),"")</f>
        <v>Residencial</v>
      </c>
      <c r="M7" s="94" t="str">
        <f>IFERROR(VLOOKUP(M$3,'Planes y paquetes'!$C$391:$BW$429,2,FALSE),"")</f>
        <v>Residencial</v>
      </c>
      <c r="N7" s="94" t="str">
        <f>IFERROR(VLOOKUP(N$3,'Planes y paquetes'!$C$391:$BW$429,2,FALSE),"")</f>
        <v>Residencial</v>
      </c>
      <c r="O7" s="94" t="str">
        <f>IFERROR(VLOOKUP(O$3,'Planes y paquetes'!$C$391:$BW$429,2,FALSE),"")</f>
        <v>Residencial</v>
      </c>
      <c r="P7" s="94" t="str">
        <f>IFERROR(VLOOKUP(P$3,'Planes y paquetes'!$C$391:$BW$429,2,FALSE),"")</f>
        <v>Residencial</v>
      </c>
      <c r="Q7" s="94" t="str">
        <f>IFERROR(VLOOKUP(Q$3,'Planes y paquetes'!$C$391:$BW$429,2,FALSE),"")</f>
        <v>Residencial</v>
      </c>
      <c r="R7" s="94" t="str">
        <f>IFERROR(VLOOKUP(R$3,'Planes y paquetes'!$C$391:$BW$429,2,FALSE),"")</f>
        <v>Residencial</v>
      </c>
      <c r="S7" s="94" t="str">
        <f>IFERROR(VLOOKUP(S$3,'Planes y paquetes'!$C$391:$BW$429,2,FALSE),"")</f>
        <v>Residencial</v>
      </c>
      <c r="T7" s="94" t="str">
        <f>IFERROR(VLOOKUP(T$3,'Planes y paquetes'!$C$391:$BW$429,2,FALSE),"")</f>
        <v>Residencial</v>
      </c>
      <c r="U7" s="94" t="str">
        <f>IFERROR(VLOOKUP(U$3,'Planes y paquetes'!$C$391:$BW$429,2,FALSE),"")</f>
        <v>Residencial</v>
      </c>
      <c r="V7" s="94" t="str">
        <f>IFERROR(VLOOKUP(V$3,'Planes y paquetes'!$C$391:$BW$429,2,FALSE),"")</f>
        <v>Residencial</v>
      </c>
      <c r="W7" s="94" t="str">
        <f>IFERROR(VLOOKUP(W$3,'Planes y paquetes'!$C$391:$BW$429,2,FALSE),"")</f>
        <v>Residencial</v>
      </c>
      <c r="X7" s="94" t="str">
        <f>IFERROR(VLOOKUP(X$3,'Planes y paquetes'!$C$391:$BW$429,2,FALSE),"")</f>
        <v>Residencial</v>
      </c>
      <c r="Y7" s="94" t="str">
        <f>IFERROR(VLOOKUP(Y$3,'Planes y paquetes'!$C$391:$BW$429,2,FALSE),"")</f>
        <v>Residencial</v>
      </c>
      <c r="Z7" s="94" t="str">
        <f>IFERROR(VLOOKUP(Z$3,'Planes y paquetes'!$C$391:$BW$429,2,FALSE),"")</f>
        <v>Residencial</v>
      </c>
      <c r="AA7" s="94" t="str">
        <f>IFERROR(VLOOKUP(AA$3,'Planes y paquetes'!$C$391:$BW$429,2,FALSE),"")</f>
        <v>Residencial</v>
      </c>
      <c r="AB7" s="94" t="str">
        <f>IFERROR(VLOOKUP(AB$3,'Planes y paquetes'!$C$391:$BW$429,2,FALSE),"")</f>
        <v>Residencial</v>
      </c>
      <c r="AC7" s="94" t="str">
        <f>IFERROR(VLOOKUP(AC$3,'Planes y paquetes'!$C$391:$BW$429,2,FALSE),"")</f>
        <v>Residencial</v>
      </c>
      <c r="AD7" s="94" t="str">
        <f>IFERROR(VLOOKUP(AD$3,'Planes y paquetes'!$C$391:$BW$429,2,FALSE),"")</f>
        <v>Residencial</v>
      </c>
      <c r="AE7" s="94" t="str">
        <f>IFERROR(VLOOKUP(AE$3,'Planes y paquetes'!$C$391:$BW$429,2,FALSE),"")</f>
        <v>No residencial</v>
      </c>
      <c r="AF7" s="94" t="str">
        <f>IFERROR(VLOOKUP(AF$3,'Planes y paquetes'!$C$391:$BW$429,2,FALSE),"")</f>
        <v>No residencial</v>
      </c>
      <c r="AG7" s="94" t="str">
        <f>IFERROR(VLOOKUP(AG$3,'Planes y paquetes'!$C$391:$BW$429,2,FALSE),"")</f>
        <v>No residencial</v>
      </c>
      <c r="AH7" s="94" t="str">
        <f>IFERROR(VLOOKUP(AH$3,'Planes y paquetes'!$C$391:$BW$429,2,FALSE),"")</f>
        <v>No residencial</v>
      </c>
      <c r="AI7" s="94" t="str">
        <f>IFERROR(VLOOKUP(AI$3,'Planes y paquetes'!$C$391:$BW$429,2,FALSE),"")</f>
        <v>No residencial</v>
      </c>
      <c r="AJ7" s="94" t="str">
        <f>IFERROR(VLOOKUP(AJ$3,'Planes y paquetes'!$C$391:$BW$429,2,FALSE),"")</f>
        <v>No residencial</v>
      </c>
      <c r="AK7" s="94" t="str">
        <f>IFERROR(VLOOKUP(AK$3,'Planes y paquetes'!$C$391:$BW$429,2,FALSE),"")</f>
        <v>No residencial</v>
      </c>
      <c r="AL7" s="94" t="str">
        <f>IFERROR(VLOOKUP(AL$3,'Planes y paquetes'!$C$391:$BW$429,2,FALSE),"")</f>
        <v>No residencial</v>
      </c>
      <c r="AM7" s="94" t="str">
        <f>IFERROR(VLOOKUP(AM$3,'Planes y paquetes'!$C$391:$BW$429,2,FALSE),"")</f>
        <v>No residencial</v>
      </c>
      <c r="AN7" s="94" t="str">
        <f>IFERROR(VLOOKUP(AN$3,'Planes y paquetes'!$C$391:$BW$429,2,FALSE),"")</f>
        <v>No residencial</v>
      </c>
      <c r="AO7" s="94" t="str">
        <f>IFERROR(VLOOKUP(AO$3,'Planes y paquetes'!$C$391:$BW$429,2,FALSE),"")</f>
        <v>No residencial</v>
      </c>
      <c r="AP7" s="94" t="str">
        <f>IFERROR(VLOOKUP(AP$3,'Planes y paquetes'!$C$391:$BW$429,2,FALSE),"")</f>
        <v>No residencial</v>
      </c>
      <c r="AQ7" s="94" t="str">
        <f>IFERROR(VLOOKUP(AQ$3,'Planes y paquetes'!$C$391:$BW$429,2,FALSE),"")</f>
        <v>No residencial</v>
      </c>
      <c r="AR7" s="94" t="str">
        <f>IFERROR(VLOOKUP(AR$3,'Planes y paquetes'!$C$391:$BW$429,2,FALSE),"")</f>
        <v>No residencial</v>
      </c>
      <c r="AS7" s="94" t="str">
        <f>IFERROR(VLOOKUP(AS$3,'Planes y paquetes'!$C$391:$BW$429,2,FALSE),"")</f>
        <v>No residencial</v>
      </c>
      <c r="AT7" s="94" t="str">
        <f>IFERROR(VLOOKUP(AT$3,'Planes y paquetes'!$C$391:$BW$429,2,FALSE),"")</f>
        <v>No residencial</v>
      </c>
      <c r="AU7" s="94" t="str">
        <f>IFERROR(VLOOKUP(AU$3,'Planes y paquetes'!$C$391:$BW$429,2,FALSE),"")</f>
        <v>No Residencial</v>
      </c>
      <c r="AV7" s="94" t="str">
        <f>IFERROR(VLOOKUP(AV$3,'Planes y paquetes'!$C$391:$BW$429,2,FALSE),"")</f>
        <v>No Residencial</v>
      </c>
      <c r="AW7" s="94" t="str">
        <f>IFERROR(VLOOKUP(AW$3,'Planes y paquetes'!$C$391:$BW$429,2,FALSE),"")</f>
        <v>No Residencial</v>
      </c>
    </row>
    <row r="8" spans="1:60" x14ac:dyDescent="0.2">
      <c r="I8" s="145" t="str">
        <f t="shared" ref="I8:P8" si="1">I3&amp;I7</f>
        <v>Renta Mensual de la Línea ResidencialResidencial</v>
      </c>
      <c r="J8" s="145" t="str">
        <f t="shared" si="1"/>
        <v>Renta Mensual de la Línea ComercialNo Residencial</v>
      </c>
      <c r="K8" s="145" t="str">
        <f t="shared" si="1"/>
        <v>Paquete 249Residencial</v>
      </c>
      <c r="L8" s="145" t="str">
        <f t="shared" si="1"/>
        <v>Paquete 289Residencial</v>
      </c>
      <c r="M8" s="145" t="str">
        <f t="shared" si="1"/>
        <v>Paquete 333Residencial</v>
      </c>
      <c r="N8" s="145" t="str">
        <f t="shared" si="1"/>
        <v>Paquete 389Residencial</v>
      </c>
      <c r="O8" s="145" t="str">
        <f t="shared" si="1"/>
        <v>Paquete 435Residencial</v>
      </c>
      <c r="P8" s="145" t="str">
        <f t="shared" si="1"/>
        <v>Paquete 499Residencial</v>
      </c>
      <c r="Q8" s="145" t="str">
        <f>Q3&amp;Q7</f>
        <v>Paquete 599Residencial</v>
      </c>
      <c r="R8" s="145" t="str">
        <f t="shared" ref="R8:AW8" si="2">R3&amp;R7</f>
        <v>Paquete 649Residencial</v>
      </c>
      <c r="S8" s="145" t="str">
        <f t="shared" si="2"/>
        <v>Paquetre 725Residencial</v>
      </c>
      <c r="T8" s="145" t="str">
        <f t="shared" si="2"/>
        <v>Paquete Infinitum 999Residencial</v>
      </c>
      <c r="U8" s="145" t="str">
        <f t="shared" si="2"/>
        <v>Paquete 1399Residencial</v>
      </c>
      <c r="V8" s="145" t="str">
        <f t="shared" si="2"/>
        <v>Infinitum 279Residencial</v>
      </c>
      <c r="W8" s="145" t="str">
        <f t="shared" si="2"/>
        <v>Infinitum 299 RResidencial</v>
      </c>
      <c r="X8" s="145" t="str">
        <f t="shared" si="2"/>
        <v>Infinitum 349Residencial</v>
      </c>
      <c r="Y8" s="145" t="str">
        <f t="shared" si="2"/>
        <v>Infinitum 399Residencial</v>
      </c>
      <c r="Z8" s="145" t="str">
        <f t="shared" si="2"/>
        <v>Infinitum 449Residencial</v>
      </c>
      <c r="AA8" s="145" t="str">
        <f t="shared" si="2"/>
        <v>Infinitum 499Residencial</v>
      </c>
      <c r="AB8" s="145" t="str">
        <f t="shared" si="2"/>
        <v>Infinitum 549Residencial</v>
      </c>
      <c r="AC8" s="145" t="str">
        <f t="shared" si="2"/>
        <v>Infinitum 649Residencial</v>
      </c>
      <c r="AD8" s="145" t="str">
        <f t="shared" si="2"/>
        <v>Infinitum 899Residencial</v>
      </c>
      <c r="AE8" s="145" t="str">
        <f t="shared" si="2"/>
        <v>Paquete Conectes NegocioNo residencial</v>
      </c>
      <c r="AF8" s="145" t="str">
        <f t="shared" si="2"/>
        <v>Paquete Mi NegocioNo residencial</v>
      </c>
      <c r="AG8" s="145" t="str">
        <f t="shared" si="2"/>
        <v>Paquete Negocio 649No residencial</v>
      </c>
      <c r="AH8" s="145" t="str">
        <f t="shared" si="2"/>
        <v>Paquete SupernegocioNo residencial</v>
      </c>
      <c r="AI8" s="145" t="str">
        <f t="shared" si="2"/>
        <v>Paquete Negocio 999No residencial</v>
      </c>
      <c r="AJ8" s="145" t="str">
        <f t="shared" si="2"/>
        <v>Paquete Telmex Negocio Ilimitado 1No residencial</v>
      </c>
      <c r="AK8" s="145" t="str">
        <f t="shared" si="2"/>
        <v>Paquete Telmex Negocio Ilimitado 2No residencial</v>
      </c>
      <c r="AL8" s="145" t="str">
        <f t="shared" si="2"/>
        <v>Paquete Telmex Negocio Ilimitado 3No residencial</v>
      </c>
      <c r="AM8" s="145" t="str">
        <f t="shared" si="2"/>
        <v>Infinitum 299 NNo residencial</v>
      </c>
      <c r="AN8" s="145" t="str">
        <f t="shared" si="2"/>
        <v>Infinitum Negocio 349No residencial</v>
      </c>
      <c r="AO8" s="145" t="str">
        <f t="shared" si="2"/>
        <v>Infinitum Negocio 399No residencial</v>
      </c>
      <c r="AP8" s="145" t="str">
        <f t="shared" si="2"/>
        <v>Infinitum Negocio 449No residencial</v>
      </c>
      <c r="AQ8" s="145" t="str">
        <f t="shared" si="2"/>
        <v>Infinitum Negocio 499No residencial</v>
      </c>
      <c r="AR8" s="145" t="str">
        <f t="shared" si="2"/>
        <v>Infinitum Negocio 549No residencial</v>
      </c>
      <c r="AS8" s="145" t="str">
        <f t="shared" si="2"/>
        <v>Infinitum Negocio 649No residencial</v>
      </c>
      <c r="AT8" s="145" t="str">
        <f t="shared" si="2"/>
        <v>Infinitum Negocio 899No residencial</v>
      </c>
      <c r="AU8" s="145" t="str">
        <f t="shared" si="2"/>
        <v>Infinitum NegocioNo Residencial</v>
      </c>
      <c r="AV8" s="145" t="str">
        <f t="shared" si="2"/>
        <v>Infinitum Negocio RedNo Residencial</v>
      </c>
      <c r="AW8" s="145" t="str">
        <f t="shared" si="2"/>
        <v>Infinitum Negocio PremiumNo Residencial</v>
      </c>
    </row>
    <row r="9" spans="1:60" ht="12" x14ac:dyDescent="0.2">
      <c r="C9" s="101" t="s">
        <v>537</v>
      </c>
      <c r="G9" s="19" t="s">
        <v>538</v>
      </c>
      <c r="H9" s="328">
        <f>SUM(vector.users.broadband)</f>
        <v>11077440.000000002</v>
      </c>
      <c r="I9" s="169">
        <f t="shared" ref="I9:AN9" si="3">IFERROR(VLOOKUP(I$8,AEP.broadband.subs.by.plan,6+MATCH(Year.selected,Years),FALSE),0)</f>
        <v>0</v>
      </c>
      <c r="J9" s="169">
        <f t="shared" si="3"/>
        <v>0</v>
      </c>
      <c r="K9" s="169">
        <f t="shared" si="3"/>
        <v>201751.81413178524</v>
      </c>
      <c r="L9" s="169">
        <f t="shared" si="3"/>
        <v>49381.469916934308</v>
      </c>
      <c r="M9" s="169">
        <f t="shared" si="3"/>
        <v>66673.620867248275</v>
      </c>
      <c r="N9" s="169">
        <f t="shared" si="3"/>
        <v>4930513.988959061</v>
      </c>
      <c r="O9" s="169">
        <f t="shared" si="3"/>
        <v>267985.84276780358</v>
      </c>
      <c r="P9" s="169">
        <f t="shared" si="3"/>
        <v>404804.12669400731</v>
      </c>
      <c r="Q9" s="169">
        <f t="shared" si="3"/>
        <v>312350.84333500621</v>
      </c>
      <c r="R9" s="169">
        <f t="shared" si="3"/>
        <v>239849.19822960181</v>
      </c>
      <c r="S9" s="169">
        <f t="shared" si="3"/>
        <v>23963.717037586928</v>
      </c>
      <c r="T9" s="169">
        <f t="shared" si="3"/>
        <v>57894.571026927151</v>
      </c>
      <c r="U9" s="169">
        <f t="shared" si="3"/>
        <v>15868.27424292063</v>
      </c>
      <c r="V9" s="169">
        <f t="shared" si="3"/>
        <v>15775.055100331336</v>
      </c>
      <c r="W9" s="169">
        <f t="shared" si="3"/>
        <v>148.05393234770156</v>
      </c>
      <c r="X9" s="169">
        <f t="shared" si="3"/>
        <v>2386658.6346661537</v>
      </c>
      <c r="Y9" s="169">
        <f t="shared" si="3"/>
        <v>216196.21166731251</v>
      </c>
      <c r="Z9" s="169">
        <f t="shared" si="3"/>
        <v>198184.81105800078</v>
      </c>
      <c r="AA9" s="169">
        <f t="shared" si="3"/>
        <v>22779.285578805317</v>
      </c>
      <c r="AB9" s="169">
        <f t="shared" si="3"/>
        <v>207159.4383151269</v>
      </c>
      <c r="AC9" s="169">
        <f t="shared" si="3"/>
        <v>19637.252125648542</v>
      </c>
      <c r="AD9" s="169">
        <f t="shared" si="3"/>
        <v>17127.646581038734</v>
      </c>
      <c r="AE9" s="169">
        <f t="shared" si="3"/>
        <v>499011.20941211493</v>
      </c>
      <c r="AF9" s="169">
        <f t="shared" si="3"/>
        <v>294174.93835641921</v>
      </c>
      <c r="AG9" s="169">
        <f t="shared" si="3"/>
        <v>26250.327770512544</v>
      </c>
      <c r="AH9" s="169">
        <f t="shared" si="3"/>
        <v>222913.47341271749</v>
      </c>
      <c r="AI9" s="169">
        <f t="shared" si="3"/>
        <v>7442.9087965412436</v>
      </c>
      <c r="AJ9" s="169">
        <f t="shared" si="3"/>
        <v>55225.030678855321</v>
      </c>
      <c r="AK9" s="169">
        <f t="shared" si="3"/>
        <v>16650.583910140584</v>
      </c>
      <c r="AL9" s="169">
        <f t="shared" si="3"/>
        <v>21855.319371376139</v>
      </c>
      <c r="AM9" s="169">
        <f t="shared" si="3"/>
        <v>3210.5769403547874</v>
      </c>
      <c r="AN9" s="169">
        <f t="shared" si="3"/>
        <v>136559.64650117661</v>
      </c>
      <c r="AO9" s="169">
        <f t="shared" ref="AO9:AW9" si="4">IFERROR(VLOOKUP(AO$8,AEP.broadband.subs.by.plan,6+MATCH(Year.selected,Years),FALSE),0)</f>
        <v>33437.340881514545</v>
      </c>
      <c r="AP9" s="169">
        <f t="shared" si="4"/>
        <v>13684.021784210712</v>
      </c>
      <c r="AQ9" s="169">
        <f t="shared" si="4"/>
        <v>5779.5868405362016</v>
      </c>
      <c r="AR9" s="169">
        <f t="shared" si="4"/>
        <v>26273.175599578546</v>
      </c>
      <c r="AS9" s="169">
        <f t="shared" si="4"/>
        <v>4766.9710563309345</v>
      </c>
      <c r="AT9" s="169">
        <f t="shared" si="4"/>
        <v>5980.6477363170316</v>
      </c>
      <c r="AU9" s="169">
        <f t="shared" si="4"/>
        <v>31514.467587319712</v>
      </c>
      <c r="AV9" s="169">
        <f t="shared" si="4"/>
        <v>9488.2464545298626</v>
      </c>
      <c r="AW9" s="169">
        <f t="shared" si="4"/>
        <v>8517.6706758060409</v>
      </c>
      <c r="AX9" s="82" t="s">
        <v>539</v>
      </c>
      <c r="BA9" s="329" t="b">
        <f>INDEX(Broadbad.suscriptions.AEP,MATCH(Year.selected,Years))=H9</f>
        <v>1</v>
      </c>
      <c r="BB9" t="s">
        <v>540</v>
      </c>
    </row>
    <row r="10" spans="1:60" ht="12" x14ac:dyDescent="0.2">
      <c r="C10" s="102" t="s">
        <v>541</v>
      </c>
      <c r="G10" s="19" t="s">
        <v>223</v>
      </c>
      <c r="H10" s="330">
        <f>SUM(vector.distribution.users.broadband)</f>
        <v>1.0000000000000002</v>
      </c>
      <c r="I10" s="163">
        <f t="shared" ref="I10:AN10" si="5">IFERROR(VLOOKUP(I$8,AEP.broadband.distribution.by.plan,6+MATCH(Year.selected,Years),FALSE),0)</f>
        <v>0</v>
      </c>
      <c r="J10" s="163">
        <f t="shared" si="5"/>
        <v>0</v>
      </c>
      <c r="K10" s="163">
        <f t="shared" si="5"/>
        <v>1.8212855509195738E-2</v>
      </c>
      <c r="L10" s="163">
        <f t="shared" si="5"/>
        <v>4.4578413349053853E-3</v>
      </c>
      <c r="M10" s="163">
        <f t="shared" si="5"/>
        <v>6.0188654479056778E-3</v>
      </c>
      <c r="N10" s="163">
        <f t="shared" si="5"/>
        <v>0.44509507512196506</v>
      </c>
      <c r="O10" s="163">
        <f t="shared" si="5"/>
        <v>2.4192037399236969E-2</v>
      </c>
      <c r="P10" s="163">
        <f t="shared" si="5"/>
        <v>3.6543111647998755E-2</v>
      </c>
      <c r="Q10" s="163">
        <f t="shared" si="5"/>
        <v>2.8197024162171604E-2</v>
      </c>
      <c r="R10" s="163">
        <f t="shared" si="5"/>
        <v>2.1652042189314661E-2</v>
      </c>
      <c r="S10" s="163">
        <f t="shared" si="5"/>
        <v>2.1632901679076509E-3</v>
      </c>
      <c r="T10" s="163">
        <f t="shared" si="5"/>
        <v>5.2263493214070355E-3</v>
      </c>
      <c r="U10" s="163">
        <f t="shared" si="5"/>
        <v>1.4324856864871875E-3</v>
      </c>
      <c r="V10" s="163">
        <f t="shared" si="5"/>
        <v>1.424070462158345E-3</v>
      </c>
      <c r="W10" s="163">
        <f t="shared" si="5"/>
        <v>1.336535628698522E-5</v>
      </c>
      <c r="X10" s="163">
        <f t="shared" si="5"/>
        <v>0.21545218341657943</v>
      </c>
      <c r="Y10" s="163">
        <f t="shared" si="5"/>
        <v>1.9516802769169818E-2</v>
      </c>
      <c r="Z10" s="163">
        <f t="shared" si="5"/>
        <v>1.7890849425318555E-2</v>
      </c>
      <c r="AA10" s="163">
        <f t="shared" si="5"/>
        <v>2.0563673176117693E-3</v>
      </c>
      <c r="AB10" s="163">
        <f t="shared" si="5"/>
        <v>1.8701021022467908E-2</v>
      </c>
      <c r="AC10" s="163">
        <f t="shared" si="5"/>
        <v>1.7727247564101941E-3</v>
      </c>
      <c r="AD10" s="163">
        <f t="shared" si="5"/>
        <v>1.5461737171258642E-3</v>
      </c>
      <c r="AE10" s="163">
        <f t="shared" si="5"/>
        <v>4.5047520854287176E-2</v>
      </c>
      <c r="AF10" s="163">
        <f t="shared" si="5"/>
        <v>2.655622042244591E-2</v>
      </c>
      <c r="AG10" s="163">
        <f t="shared" si="5"/>
        <v>2.3697106705622005E-3</v>
      </c>
      <c r="AH10" s="163">
        <f t="shared" si="5"/>
        <v>2.0123193934042296E-2</v>
      </c>
      <c r="AI10" s="163">
        <f t="shared" si="5"/>
        <v>6.7189791111856565E-4</v>
      </c>
      <c r="AJ10" s="163">
        <f t="shared" si="5"/>
        <v>4.9853603972447895E-3</v>
      </c>
      <c r="AK10" s="163">
        <f t="shared" si="5"/>
        <v>1.503107569090023E-3</v>
      </c>
      <c r="AL10" s="163">
        <f t="shared" si="5"/>
        <v>1.972957594117065E-3</v>
      </c>
      <c r="AM10" s="163">
        <f t="shared" si="5"/>
        <v>2.8983022614925355E-4</v>
      </c>
      <c r="AN10" s="163">
        <f t="shared" si="5"/>
        <v>1.2327726126359214E-2</v>
      </c>
      <c r="AO10" s="163">
        <f t="shared" ref="AO10:AW10" si="6">IFERROR(VLOOKUP(AO$8,AEP.broadband.distribution.by.plan,6+MATCH(Year.selected,Years),FALSE),0)</f>
        <v>3.0185079658761002E-3</v>
      </c>
      <c r="AP10" s="163">
        <f t="shared" si="6"/>
        <v>1.2353054301545044E-3</v>
      </c>
      <c r="AQ10" s="163">
        <f t="shared" si="6"/>
        <v>5.2174390838823786E-4</v>
      </c>
      <c r="AR10" s="163">
        <f t="shared" si="6"/>
        <v>2.3717732255447601E-3</v>
      </c>
      <c r="AS10" s="163">
        <f t="shared" si="6"/>
        <v>4.3033147156120317E-4</v>
      </c>
      <c r="AT10" s="163">
        <f t="shared" si="6"/>
        <v>5.3989439223476102E-4</v>
      </c>
      <c r="AU10" s="163">
        <f t="shared" si="6"/>
        <v>2.8449233385438974E-3</v>
      </c>
      <c r="AV10" s="163">
        <f t="shared" si="6"/>
        <v>8.565378331572874E-4</v>
      </c>
      <c r="AW10" s="163">
        <f t="shared" si="6"/>
        <v>7.6892049749816211E-4</v>
      </c>
      <c r="AX10" s="82" t="s">
        <v>542</v>
      </c>
    </row>
    <row r="11" spans="1:60" ht="12" x14ac:dyDescent="0.2">
      <c r="C11" s="101"/>
    </row>
    <row r="12" spans="1:60" ht="12" x14ac:dyDescent="0.2">
      <c r="C12" s="101" t="s">
        <v>543</v>
      </c>
      <c r="G12" s="19" t="s">
        <v>544</v>
      </c>
      <c r="H12" s="328">
        <f>SUM(vector.users.telephone)</f>
        <v>10170846</v>
      </c>
      <c r="I12" s="169">
        <f t="shared" ref="I12:AW12" si="7">IFERROR(VLOOKUP(I$8,AEP.telephony.subs.by.plan,6+MATCH(Year.selected,Years),FALSE),0)</f>
        <v>523358.45269257942</v>
      </c>
      <c r="J12" s="169">
        <f t="shared" si="7"/>
        <v>1932926.2883898607</v>
      </c>
      <c r="K12" s="169">
        <f t="shared" si="7"/>
        <v>201751.81413178524</v>
      </c>
      <c r="L12" s="169">
        <f t="shared" si="7"/>
        <v>49381.469916934308</v>
      </c>
      <c r="M12" s="169">
        <f t="shared" si="7"/>
        <v>66673.620867248275</v>
      </c>
      <c r="N12" s="169">
        <f t="shared" si="7"/>
        <v>4930513.988959061</v>
      </c>
      <c r="O12" s="169">
        <f t="shared" si="7"/>
        <v>267985.84276780358</v>
      </c>
      <c r="P12" s="169">
        <f t="shared" si="7"/>
        <v>404804.12669400731</v>
      </c>
      <c r="Q12" s="169">
        <f t="shared" si="7"/>
        <v>312350.84333500621</v>
      </c>
      <c r="R12" s="169">
        <f t="shared" si="7"/>
        <v>239849.19822960181</v>
      </c>
      <c r="S12" s="169">
        <f t="shared" si="7"/>
        <v>23963.717037586928</v>
      </c>
      <c r="T12" s="169">
        <f t="shared" si="7"/>
        <v>57894.571026927151</v>
      </c>
      <c r="U12" s="169">
        <f t="shared" si="7"/>
        <v>15868.27424292063</v>
      </c>
      <c r="V12" s="169">
        <f t="shared" si="7"/>
        <v>0</v>
      </c>
      <c r="W12" s="169">
        <f t="shared" si="7"/>
        <v>0</v>
      </c>
      <c r="X12" s="169">
        <f t="shared" si="7"/>
        <v>0</v>
      </c>
      <c r="Y12" s="169">
        <f t="shared" si="7"/>
        <v>0</v>
      </c>
      <c r="Z12" s="169">
        <f t="shared" si="7"/>
        <v>0</v>
      </c>
      <c r="AA12" s="169">
        <f t="shared" si="7"/>
        <v>0</v>
      </c>
      <c r="AB12" s="169">
        <f t="shared" si="7"/>
        <v>0</v>
      </c>
      <c r="AC12" s="169">
        <f t="shared" si="7"/>
        <v>0</v>
      </c>
      <c r="AD12" s="169">
        <f t="shared" si="7"/>
        <v>0</v>
      </c>
      <c r="AE12" s="169">
        <f t="shared" si="7"/>
        <v>499011.20941211493</v>
      </c>
      <c r="AF12" s="169">
        <f t="shared" si="7"/>
        <v>294174.93835641921</v>
      </c>
      <c r="AG12" s="169">
        <f t="shared" si="7"/>
        <v>26250.327770512544</v>
      </c>
      <c r="AH12" s="169">
        <f t="shared" si="7"/>
        <v>222913.47341271749</v>
      </c>
      <c r="AI12" s="169">
        <f t="shared" si="7"/>
        <v>7442.9087965412436</v>
      </c>
      <c r="AJ12" s="169">
        <f t="shared" si="7"/>
        <v>55225.030678855321</v>
      </c>
      <c r="AK12" s="169">
        <f t="shared" si="7"/>
        <v>16650.583910140584</v>
      </c>
      <c r="AL12" s="169">
        <f t="shared" si="7"/>
        <v>21855.319371376139</v>
      </c>
      <c r="AM12" s="169">
        <f t="shared" si="7"/>
        <v>0</v>
      </c>
      <c r="AN12" s="169">
        <f t="shared" si="7"/>
        <v>0</v>
      </c>
      <c r="AO12" s="169">
        <f t="shared" si="7"/>
        <v>0</v>
      </c>
      <c r="AP12" s="169">
        <f t="shared" si="7"/>
        <v>0</v>
      </c>
      <c r="AQ12" s="169">
        <f t="shared" si="7"/>
        <v>0</v>
      </c>
      <c r="AR12" s="169">
        <f t="shared" si="7"/>
        <v>0</v>
      </c>
      <c r="AS12" s="169">
        <f t="shared" si="7"/>
        <v>0</v>
      </c>
      <c r="AT12" s="169">
        <f t="shared" si="7"/>
        <v>0</v>
      </c>
      <c r="AU12" s="169">
        <f t="shared" si="7"/>
        <v>0</v>
      </c>
      <c r="AV12" s="169">
        <f t="shared" si="7"/>
        <v>0</v>
      </c>
      <c r="AW12" s="169">
        <f t="shared" si="7"/>
        <v>0</v>
      </c>
      <c r="AX12" s="82" t="s">
        <v>545</v>
      </c>
      <c r="BA12" s="329" t="b">
        <f>INDEX(AEP.telephone.lines,MATCH(Year.selected,Years))=H12</f>
        <v>1</v>
      </c>
      <c r="BB12" t="s">
        <v>540</v>
      </c>
    </row>
    <row r="13" spans="1:60" ht="12" x14ac:dyDescent="0.2">
      <c r="C13" s="102" t="s">
        <v>541</v>
      </c>
      <c r="G13" s="19" t="s">
        <v>223</v>
      </c>
      <c r="H13" s="330">
        <f>SUM(vector.users.distribution.telephone)</f>
        <v>0.99999999999999989</v>
      </c>
      <c r="I13" s="163">
        <f t="shared" ref="I13:AW13" si="8">IFERROR(VLOOKUP(I$8,AEP.telephony.distribution.by.plan,6+MATCH(Year.selected,Years),FALSE),0)</f>
        <v>5.1567537025284056E-2</v>
      </c>
      <c r="J13" s="163">
        <f t="shared" si="8"/>
        <v>0.1904550264371842</v>
      </c>
      <c r="K13" s="163">
        <f t="shared" si="8"/>
        <v>1.9879002797477081E-2</v>
      </c>
      <c r="L13" s="163">
        <f t="shared" si="8"/>
        <v>4.865653292123788E-3</v>
      </c>
      <c r="M13" s="163">
        <f t="shared" si="8"/>
        <v>6.5694829136564489E-3</v>
      </c>
      <c r="N13" s="163">
        <f t="shared" si="8"/>
        <v>0.4858132344499963</v>
      </c>
      <c r="O13" s="163">
        <f t="shared" si="8"/>
        <v>2.6405171824554742E-2</v>
      </c>
      <c r="P13" s="163">
        <f t="shared" si="8"/>
        <v>3.9886146261485574E-2</v>
      </c>
      <c r="Q13" s="163">
        <f t="shared" si="8"/>
        <v>3.0776542531582986E-2</v>
      </c>
      <c r="R13" s="163">
        <f t="shared" si="8"/>
        <v>2.3632812934531698E-2</v>
      </c>
      <c r="S13" s="163">
        <f t="shared" si="8"/>
        <v>2.3611921413354401E-3</v>
      </c>
      <c r="T13" s="163">
        <f t="shared" si="8"/>
        <v>5.7044658773241861E-3</v>
      </c>
      <c r="U13" s="163">
        <f t="shared" si="8"/>
        <v>1.5635322508679016E-3</v>
      </c>
      <c r="V13" s="163">
        <f t="shared" si="8"/>
        <v>0</v>
      </c>
      <c r="W13" s="163">
        <f t="shared" si="8"/>
        <v>0</v>
      </c>
      <c r="X13" s="163">
        <f t="shared" si="8"/>
        <v>0</v>
      </c>
      <c r="Y13" s="163">
        <f t="shared" si="8"/>
        <v>0</v>
      </c>
      <c r="Z13" s="163">
        <f t="shared" si="8"/>
        <v>0</v>
      </c>
      <c r="AA13" s="163">
        <f t="shared" si="8"/>
        <v>0</v>
      </c>
      <c r="AB13" s="163">
        <f t="shared" si="8"/>
        <v>0</v>
      </c>
      <c r="AC13" s="163">
        <f t="shared" si="8"/>
        <v>0</v>
      </c>
      <c r="AD13" s="163">
        <f t="shared" si="8"/>
        <v>0</v>
      </c>
      <c r="AE13" s="163">
        <f t="shared" si="8"/>
        <v>4.9168555289402081E-2</v>
      </c>
      <c r="AF13" s="163">
        <f t="shared" si="8"/>
        <v>2.8985634888591516E-2</v>
      </c>
      <c r="AG13" s="163">
        <f t="shared" si="8"/>
        <v>2.5864963912733251E-3</v>
      </c>
      <c r="AH13" s="163">
        <f t="shared" si="8"/>
        <v>2.196410268049535E-2</v>
      </c>
      <c r="AI13" s="163">
        <f t="shared" si="8"/>
        <v>7.3336443305121188E-4</v>
      </c>
      <c r="AJ13" s="163">
        <f t="shared" si="8"/>
        <v>5.4414308197428263E-3</v>
      </c>
      <c r="AK13" s="163">
        <f t="shared" si="8"/>
        <v>1.6406147600392963E-3</v>
      </c>
      <c r="AL13" s="163">
        <f t="shared" si="8"/>
        <v>0</v>
      </c>
      <c r="AM13" s="163">
        <f t="shared" si="8"/>
        <v>0</v>
      </c>
      <c r="AN13" s="163">
        <f t="shared" si="8"/>
        <v>0</v>
      </c>
      <c r="AO13" s="163">
        <f t="shared" si="8"/>
        <v>0</v>
      </c>
      <c r="AP13" s="163">
        <f t="shared" si="8"/>
        <v>0</v>
      </c>
      <c r="AQ13" s="163">
        <f t="shared" si="8"/>
        <v>0</v>
      </c>
      <c r="AR13" s="163">
        <f t="shared" si="8"/>
        <v>0</v>
      </c>
      <c r="AS13" s="163">
        <f t="shared" si="8"/>
        <v>0</v>
      </c>
      <c r="AT13" s="163">
        <f t="shared" si="8"/>
        <v>0</v>
      </c>
      <c r="AU13" s="163">
        <f t="shared" si="8"/>
        <v>0</v>
      </c>
      <c r="AV13" s="163">
        <f t="shared" si="8"/>
        <v>0</v>
      </c>
      <c r="AW13" s="163">
        <f t="shared" si="8"/>
        <v>0</v>
      </c>
      <c r="AX13" s="82" t="s">
        <v>546</v>
      </c>
    </row>
    <row r="15" spans="1:60" ht="36" customHeight="1" x14ac:dyDescent="0.2">
      <c r="C15" s="101" t="s">
        <v>547</v>
      </c>
    </row>
    <row r="16" spans="1:60" x14ac:dyDescent="0.2">
      <c r="C16" s="102" t="s">
        <v>548</v>
      </c>
      <c r="G16" s="19" t="s">
        <v>549</v>
      </c>
      <c r="I16" s="331">
        <v>12</v>
      </c>
      <c r="J16" s="331">
        <v>12</v>
      </c>
      <c r="K16" s="331">
        <v>12</v>
      </c>
      <c r="L16" s="331">
        <v>12</v>
      </c>
      <c r="M16" s="331">
        <v>12</v>
      </c>
      <c r="N16" s="331">
        <v>12</v>
      </c>
      <c r="O16" s="331">
        <v>12</v>
      </c>
      <c r="P16" s="331">
        <v>12</v>
      </c>
      <c r="Q16" s="331">
        <v>12</v>
      </c>
      <c r="R16" s="331">
        <v>12</v>
      </c>
      <c r="S16" s="331">
        <v>12</v>
      </c>
      <c r="T16" s="331">
        <v>12</v>
      </c>
      <c r="U16" s="331">
        <v>12</v>
      </c>
      <c r="V16" s="331">
        <v>12</v>
      </c>
      <c r="W16" s="331">
        <v>12</v>
      </c>
      <c r="X16" s="331">
        <v>12</v>
      </c>
      <c r="Y16" s="331">
        <v>12</v>
      </c>
      <c r="Z16" s="331">
        <v>12</v>
      </c>
      <c r="AA16" s="331">
        <v>12</v>
      </c>
      <c r="AB16" s="331">
        <v>12</v>
      </c>
      <c r="AC16" s="331">
        <v>12</v>
      </c>
      <c r="AD16" s="331">
        <v>12</v>
      </c>
      <c r="AE16" s="331">
        <v>12</v>
      </c>
      <c r="AF16" s="331">
        <v>12</v>
      </c>
      <c r="AG16" s="331">
        <v>12</v>
      </c>
      <c r="AH16" s="331">
        <v>12</v>
      </c>
      <c r="AI16" s="331">
        <v>12</v>
      </c>
      <c r="AJ16" s="331">
        <v>12</v>
      </c>
      <c r="AK16" s="331">
        <v>12</v>
      </c>
      <c r="AL16" s="331">
        <v>12</v>
      </c>
      <c r="AM16" s="331">
        <v>12</v>
      </c>
      <c r="AN16" s="331">
        <v>12</v>
      </c>
      <c r="AO16" s="331">
        <v>12</v>
      </c>
      <c r="AP16" s="331">
        <v>12</v>
      </c>
      <c r="AQ16" s="331">
        <v>12</v>
      </c>
      <c r="AR16" s="331">
        <v>12</v>
      </c>
      <c r="AS16" s="331">
        <v>12</v>
      </c>
      <c r="AT16" s="331">
        <v>12</v>
      </c>
      <c r="AU16" s="331">
        <v>12</v>
      </c>
      <c r="AV16" s="331">
        <v>12</v>
      </c>
      <c r="AW16" s="331">
        <v>12</v>
      </c>
      <c r="AX16" s="332" t="s">
        <v>550</v>
      </c>
    </row>
    <row r="17" spans="1:50" x14ac:dyDescent="0.2">
      <c r="C17" s="102"/>
    </row>
    <row r="18" spans="1:50" ht="12" x14ac:dyDescent="0.2">
      <c r="C18" s="101" t="s">
        <v>551</v>
      </c>
    </row>
    <row r="19" spans="1:50" x14ac:dyDescent="0.2">
      <c r="C19" s="102" t="s">
        <v>552</v>
      </c>
      <c r="G19" s="273" t="s">
        <v>553</v>
      </c>
      <c r="I19" s="93">
        <f>IF(I16=12,1,0)</f>
        <v>1</v>
      </c>
      <c r="J19" s="93">
        <f t="shared" ref="J19:AW19" si="9">IF(J16=12,1,0)</f>
        <v>1</v>
      </c>
      <c r="K19" s="93">
        <f t="shared" si="9"/>
        <v>1</v>
      </c>
      <c r="L19" s="93">
        <f t="shared" si="9"/>
        <v>1</v>
      </c>
      <c r="M19" s="93">
        <f t="shared" si="9"/>
        <v>1</v>
      </c>
      <c r="N19" s="93">
        <f t="shared" si="9"/>
        <v>1</v>
      </c>
      <c r="O19" s="93">
        <f t="shared" si="9"/>
        <v>1</v>
      </c>
      <c r="P19" s="93">
        <f t="shared" si="9"/>
        <v>1</v>
      </c>
      <c r="Q19" s="93">
        <f t="shared" si="9"/>
        <v>1</v>
      </c>
      <c r="R19" s="93">
        <f t="shared" si="9"/>
        <v>1</v>
      </c>
      <c r="S19" s="93">
        <f t="shared" si="9"/>
        <v>1</v>
      </c>
      <c r="T19" s="93">
        <f t="shared" si="9"/>
        <v>1</v>
      </c>
      <c r="U19" s="93">
        <f t="shared" si="9"/>
        <v>1</v>
      </c>
      <c r="V19" s="93">
        <f t="shared" si="9"/>
        <v>1</v>
      </c>
      <c r="W19" s="93">
        <f t="shared" si="9"/>
        <v>1</v>
      </c>
      <c r="X19" s="93">
        <f>IF(X16=12,1,0)</f>
        <v>1</v>
      </c>
      <c r="Y19" s="93">
        <f>IF(Y16=12,1,0)</f>
        <v>1</v>
      </c>
      <c r="Z19" s="93">
        <f>IF(Z16=12,1,0)</f>
        <v>1</v>
      </c>
      <c r="AA19" s="93">
        <f t="shared" si="9"/>
        <v>1</v>
      </c>
      <c r="AB19" s="93">
        <f t="shared" si="9"/>
        <v>1</v>
      </c>
      <c r="AC19" s="93">
        <f t="shared" si="9"/>
        <v>1</v>
      </c>
      <c r="AD19" s="93">
        <f t="shared" si="9"/>
        <v>1</v>
      </c>
      <c r="AE19" s="93">
        <f t="shared" si="9"/>
        <v>1</v>
      </c>
      <c r="AF19" s="93">
        <f t="shared" si="9"/>
        <v>1</v>
      </c>
      <c r="AG19" s="93">
        <f t="shared" si="9"/>
        <v>1</v>
      </c>
      <c r="AH19" s="93">
        <f t="shared" si="9"/>
        <v>1</v>
      </c>
      <c r="AI19" s="93">
        <f t="shared" si="9"/>
        <v>1</v>
      </c>
      <c r="AJ19" s="93">
        <f t="shared" si="9"/>
        <v>1</v>
      </c>
      <c r="AK19" s="93">
        <f t="shared" si="9"/>
        <v>1</v>
      </c>
      <c r="AL19" s="93">
        <f t="shared" si="9"/>
        <v>1</v>
      </c>
      <c r="AM19" s="93">
        <f t="shared" si="9"/>
        <v>1</v>
      </c>
      <c r="AN19" s="93">
        <f t="shared" si="9"/>
        <v>1</v>
      </c>
      <c r="AO19" s="93">
        <f t="shared" si="9"/>
        <v>1</v>
      </c>
      <c r="AP19" s="93">
        <f t="shared" si="9"/>
        <v>1</v>
      </c>
      <c r="AQ19" s="93">
        <f t="shared" si="9"/>
        <v>1</v>
      </c>
      <c r="AR19" s="93">
        <f t="shared" si="9"/>
        <v>1</v>
      </c>
      <c r="AS19" s="93">
        <f t="shared" si="9"/>
        <v>1</v>
      </c>
      <c r="AT19" s="93">
        <f t="shared" si="9"/>
        <v>1</v>
      </c>
      <c r="AU19" s="93">
        <f t="shared" si="9"/>
        <v>1</v>
      </c>
      <c r="AV19" s="93">
        <f t="shared" si="9"/>
        <v>1</v>
      </c>
      <c r="AW19" s="93">
        <f t="shared" si="9"/>
        <v>1</v>
      </c>
      <c r="AX19" s="332" t="s">
        <v>554</v>
      </c>
    </row>
    <row r="20" spans="1:50" ht="12" x14ac:dyDescent="0.2">
      <c r="C20" s="102" t="s">
        <v>555</v>
      </c>
      <c r="G20" s="273" t="s">
        <v>553</v>
      </c>
      <c r="I20" s="93">
        <f t="shared" ref="I20:W20" si="10">IF(I5&lt;&gt;"Internet fijo",IF(I7="Residencial",1,0),0)</f>
        <v>1</v>
      </c>
      <c r="J20" s="93">
        <f t="shared" si="10"/>
        <v>0</v>
      </c>
      <c r="K20" s="93">
        <f t="shared" si="10"/>
        <v>1</v>
      </c>
      <c r="L20" s="93">
        <f t="shared" si="10"/>
        <v>1</v>
      </c>
      <c r="M20" s="93">
        <f t="shared" si="10"/>
        <v>1</v>
      </c>
      <c r="N20" s="93">
        <f t="shared" si="10"/>
        <v>1</v>
      </c>
      <c r="O20" s="93">
        <f t="shared" si="10"/>
        <v>1</v>
      </c>
      <c r="P20" s="93">
        <f t="shared" si="10"/>
        <v>1</v>
      </c>
      <c r="Q20" s="93">
        <f t="shared" si="10"/>
        <v>1</v>
      </c>
      <c r="R20" s="93">
        <f t="shared" si="10"/>
        <v>1</v>
      </c>
      <c r="S20" s="93">
        <f t="shared" si="10"/>
        <v>1</v>
      </c>
      <c r="T20" s="93">
        <f t="shared" si="10"/>
        <v>1</v>
      </c>
      <c r="U20" s="93">
        <f t="shared" si="10"/>
        <v>1</v>
      </c>
      <c r="V20" s="93">
        <f t="shared" si="10"/>
        <v>0</v>
      </c>
      <c r="W20" s="93">
        <f t="shared" si="10"/>
        <v>0</v>
      </c>
      <c r="X20" s="93">
        <f>IF(X5&lt;&gt;"Internet fijo",IF(X7="Residencial",1,0),0)</f>
        <v>0</v>
      </c>
      <c r="Y20" s="93">
        <f>IF(Y5&lt;&gt;"Internet fijo",IF(Y7="Residencial",1,0),0)</f>
        <v>0</v>
      </c>
      <c r="Z20" s="93">
        <f>IF(Z5&lt;&gt;"Internet fijo",IF(Z7="Residencial",1,0),0)</f>
        <v>0</v>
      </c>
      <c r="AA20" s="93">
        <f t="shared" ref="AA20:AW20" si="11">IF(AA5&lt;&gt;"Internet fijo",IF(AA7="Residencial",1,0),0)</f>
        <v>0</v>
      </c>
      <c r="AB20" s="93">
        <f t="shared" si="11"/>
        <v>0</v>
      </c>
      <c r="AC20" s="93">
        <f t="shared" si="11"/>
        <v>0</v>
      </c>
      <c r="AD20" s="93">
        <f t="shared" si="11"/>
        <v>0</v>
      </c>
      <c r="AE20" s="93">
        <f t="shared" si="11"/>
        <v>0</v>
      </c>
      <c r="AF20" s="93">
        <f t="shared" si="11"/>
        <v>0</v>
      </c>
      <c r="AG20" s="93">
        <f t="shared" si="11"/>
        <v>0</v>
      </c>
      <c r="AH20" s="93">
        <f t="shared" si="11"/>
        <v>0</v>
      </c>
      <c r="AI20" s="93">
        <f>IF(AI5&lt;&gt;"Internet fijo",IF(AI7="Residencial",1,0),0)</f>
        <v>0</v>
      </c>
      <c r="AJ20" s="93">
        <f t="shared" si="11"/>
        <v>0</v>
      </c>
      <c r="AK20" s="93">
        <f t="shared" si="11"/>
        <v>0</v>
      </c>
      <c r="AL20" s="93">
        <f t="shared" si="11"/>
        <v>0</v>
      </c>
      <c r="AM20" s="93">
        <f t="shared" si="11"/>
        <v>0</v>
      </c>
      <c r="AN20" s="93">
        <f t="shared" si="11"/>
        <v>0</v>
      </c>
      <c r="AO20" s="93">
        <f t="shared" si="11"/>
        <v>0</v>
      </c>
      <c r="AP20" s="93">
        <f t="shared" si="11"/>
        <v>0</v>
      </c>
      <c r="AQ20" s="93">
        <f t="shared" si="11"/>
        <v>0</v>
      </c>
      <c r="AR20" s="93">
        <f t="shared" si="11"/>
        <v>0</v>
      </c>
      <c r="AS20" s="93">
        <f t="shared" si="11"/>
        <v>0</v>
      </c>
      <c r="AT20" s="93">
        <f t="shared" si="11"/>
        <v>0</v>
      </c>
      <c r="AU20" s="93">
        <f t="shared" si="11"/>
        <v>0</v>
      </c>
      <c r="AV20" s="93">
        <f t="shared" si="11"/>
        <v>0</v>
      </c>
      <c r="AW20" s="93">
        <f t="shared" si="11"/>
        <v>0</v>
      </c>
      <c r="AX20" s="332" t="s">
        <v>556</v>
      </c>
    </row>
    <row r="21" spans="1:50" ht="12" x14ac:dyDescent="0.2">
      <c r="C21" s="102" t="s">
        <v>557</v>
      </c>
      <c r="G21" s="273" t="s">
        <v>553</v>
      </c>
      <c r="I21" s="93">
        <f t="shared" ref="I21:W21" si="12">IF(I5&lt;&gt;"Internet fijo",IF(I7="No Residencial",1,0),0)</f>
        <v>0</v>
      </c>
      <c r="J21" s="93">
        <f t="shared" si="12"/>
        <v>1</v>
      </c>
      <c r="K21" s="93">
        <f t="shared" si="12"/>
        <v>0</v>
      </c>
      <c r="L21" s="93">
        <f t="shared" si="12"/>
        <v>0</v>
      </c>
      <c r="M21" s="93">
        <f t="shared" si="12"/>
        <v>0</v>
      </c>
      <c r="N21" s="93">
        <f t="shared" si="12"/>
        <v>0</v>
      </c>
      <c r="O21" s="93">
        <f t="shared" si="12"/>
        <v>0</v>
      </c>
      <c r="P21" s="93">
        <f t="shared" si="12"/>
        <v>0</v>
      </c>
      <c r="Q21" s="93">
        <f t="shared" si="12"/>
        <v>0</v>
      </c>
      <c r="R21" s="93">
        <f t="shared" si="12"/>
        <v>0</v>
      </c>
      <c r="S21" s="93">
        <f t="shared" si="12"/>
        <v>0</v>
      </c>
      <c r="T21" s="93">
        <f t="shared" si="12"/>
        <v>0</v>
      </c>
      <c r="U21" s="93">
        <f t="shared" si="12"/>
        <v>0</v>
      </c>
      <c r="V21" s="93">
        <f t="shared" si="12"/>
        <v>0</v>
      </c>
      <c r="W21" s="93">
        <f t="shared" si="12"/>
        <v>0</v>
      </c>
      <c r="X21" s="93">
        <f>IF(X5&lt;&gt;"Internet fijo",IF(X7="No Residencial",1,0),0)</f>
        <v>0</v>
      </c>
      <c r="Y21" s="93">
        <f>IF(Y5&lt;&gt;"Internet fijo",IF(Y7="No Residencial",1,0),0)</f>
        <v>0</v>
      </c>
      <c r="Z21" s="93">
        <f>IF(Z5&lt;&gt;"Internet fijo",IF(Z7="No Residencial",1,0),0)</f>
        <v>0</v>
      </c>
      <c r="AA21" s="93">
        <f t="shared" ref="AA21:AW21" si="13">IF(AA5&lt;&gt;"Internet fijo",IF(AA7="No Residencial",1,0),0)</f>
        <v>0</v>
      </c>
      <c r="AB21" s="93">
        <f t="shared" si="13"/>
        <v>0</v>
      </c>
      <c r="AC21" s="93">
        <f t="shared" si="13"/>
        <v>0</v>
      </c>
      <c r="AD21" s="93">
        <f t="shared" si="13"/>
        <v>0</v>
      </c>
      <c r="AE21" s="93">
        <f t="shared" si="13"/>
        <v>1</v>
      </c>
      <c r="AF21" s="93">
        <f t="shared" si="13"/>
        <v>1</v>
      </c>
      <c r="AG21" s="93">
        <f t="shared" si="13"/>
        <v>1</v>
      </c>
      <c r="AH21" s="93">
        <f t="shared" si="13"/>
        <v>1</v>
      </c>
      <c r="AI21" s="93">
        <f t="shared" si="13"/>
        <v>1</v>
      </c>
      <c r="AJ21" s="93">
        <f t="shared" si="13"/>
        <v>1</v>
      </c>
      <c r="AK21" s="93">
        <f t="shared" si="13"/>
        <v>1</v>
      </c>
      <c r="AL21" s="93">
        <f t="shared" si="13"/>
        <v>1</v>
      </c>
      <c r="AM21" s="93">
        <f t="shared" si="13"/>
        <v>0</v>
      </c>
      <c r="AN21" s="93">
        <f t="shared" si="13"/>
        <v>0</v>
      </c>
      <c r="AO21" s="93">
        <f t="shared" si="13"/>
        <v>0</v>
      </c>
      <c r="AP21" s="93">
        <f t="shared" si="13"/>
        <v>0</v>
      </c>
      <c r="AQ21" s="93">
        <f t="shared" si="13"/>
        <v>0</v>
      </c>
      <c r="AR21" s="93">
        <f t="shared" si="13"/>
        <v>0</v>
      </c>
      <c r="AS21" s="93">
        <f t="shared" si="13"/>
        <v>0</v>
      </c>
      <c r="AT21" s="93">
        <f t="shared" si="13"/>
        <v>0</v>
      </c>
      <c r="AU21" s="93">
        <f t="shared" si="13"/>
        <v>0</v>
      </c>
      <c r="AV21" s="93">
        <f t="shared" si="13"/>
        <v>0</v>
      </c>
      <c r="AW21" s="93">
        <f t="shared" si="13"/>
        <v>0</v>
      </c>
      <c r="AX21" s="332" t="s">
        <v>558</v>
      </c>
    </row>
    <row r="23" spans="1:50" ht="12" x14ac:dyDescent="0.2">
      <c r="A23" s="99">
        <v>2</v>
      </c>
      <c r="B23" s="99" t="s">
        <v>559</v>
      </c>
      <c r="C23" s="99"/>
      <c r="D23" s="76"/>
      <c r="E23" s="76"/>
      <c r="F23" s="76"/>
      <c r="G23" s="76"/>
      <c r="H23" s="76"/>
    </row>
    <row r="24" spans="1:50" ht="12" x14ac:dyDescent="0.2">
      <c r="C24" s="101"/>
    </row>
    <row r="25" spans="1:50" ht="12" x14ac:dyDescent="0.2">
      <c r="C25" s="101" t="s">
        <v>560</v>
      </c>
      <c r="G25" s="273" t="s">
        <v>561</v>
      </c>
      <c r="H25" t="s">
        <v>534</v>
      </c>
      <c r="I25" s="333">
        <v>1</v>
      </c>
      <c r="J25" s="333">
        <v>1</v>
      </c>
      <c r="K25" s="94">
        <f>IFERROR(VLOOKUP(K$8,'Planes y paquetes'!$A$391:$BW$429,8,FALSE),0)</f>
        <v>1</v>
      </c>
      <c r="L25" s="94">
        <f>IFERROR(VLOOKUP(L$8,'Planes y paquetes'!$A$391:$BW$429,8,FALSE),0)</f>
        <v>1</v>
      </c>
      <c r="M25" s="94">
        <f>IFERROR(VLOOKUP(M$8,'Planes y paquetes'!$A$391:$BW$429,8,FALSE),0)</f>
        <v>1</v>
      </c>
      <c r="N25" s="94">
        <f>IFERROR(VLOOKUP(N$8,'Planes y paquetes'!$A$391:$BW$429,8,FALSE),0)</f>
        <v>1</v>
      </c>
      <c r="O25" s="94">
        <f>IFERROR(VLOOKUP(O$8,'Planes y paquetes'!$A$391:$BW$429,8,FALSE),0)</f>
        <v>1</v>
      </c>
      <c r="P25" s="94">
        <f>IFERROR(VLOOKUP(P$8,'Planes y paquetes'!$A$391:$BW$429,8,FALSE),0)</f>
        <v>1</v>
      </c>
      <c r="Q25" s="94">
        <f>IFERROR(VLOOKUP(Q$8,'Planes y paquetes'!$A$391:$BW$429,8,FALSE),0)</f>
        <v>2</v>
      </c>
      <c r="R25" s="94">
        <f>IFERROR(VLOOKUP(R$8,'Planes y paquetes'!$A$391:$BW$429,8,FALSE),0)</f>
        <v>2</v>
      </c>
      <c r="S25" s="94">
        <f>IFERROR(VLOOKUP(S$8,'Planes y paquetes'!$A$391:$BW$429,8,FALSE),0)</f>
        <v>2</v>
      </c>
      <c r="T25" s="94">
        <f>IFERROR(VLOOKUP(T$8,'Planes y paquetes'!$A$391:$BW$429,8,FALSE),0)</f>
        <v>3</v>
      </c>
      <c r="U25" s="94">
        <f>IFERROR(VLOOKUP(U$8,'Planes y paquetes'!$A$391:$BW$429,8,FALSE),0)</f>
        <v>6</v>
      </c>
      <c r="V25" s="94">
        <f>IFERROR(VLOOKUP(V$8,'Planes y paquetes'!$A$391:$BW$429,8,FALSE),0)</f>
        <v>0</v>
      </c>
      <c r="W25" s="94">
        <f>IFERROR(VLOOKUP(W$8,'Planes y paquetes'!$A$391:$BW$429,8,FALSE),0)</f>
        <v>0</v>
      </c>
      <c r="X25" s="94">
        <f>IFERROR(VLOOKUP(X$8,'Planes y paquetes'!$A$391:$BW$429,8,FALSE),0)</f>
        <v>0</v>
      </c>
      <c r="Y25" s="94">
        <f>IFERROR(VLOOKUP(Y$8,'Planes y paquetes'!$A$391:$BW$429,8,FALSE),0)</f>
        <v>0</v>
      </c>
      <c r="Z25" s="94">
        <f>IFERROR(VLOOKUP(Z$8,'Planes y paquetes'!$A$391:$BW$429,8,FALSE),0)</f>
        <v>0</v>
      </c>
      <c r="AA25" s="94">
        <f>IFERROR(VLOOKUP(AA$8,'Planes y paquetes'!$A$391:$BW$429,8,FALSE),0)</f>
        <v>0</v>
      </c>
      <c r="AB25" s="94">
        <f>IFERROR(VLOOKUP(AB$8,'Planes y paquetes'!$A$391:$BW$429,8,FALSE),0)</f>
        <v>0</v>
      </c>
      <c r="AC25" s="94">
        <f>IFERROR(VLOOKUP(AC$8,'Planes y paquetes'!$A$391:$BW$429,8,FALSE),0)</f>
        <v>0</v>
      </c>
      <c r="AD25" s="94">
        <f>IFERROR(VLOOKUP(AD$8,'Planes y paquetes'!$A$391:$BW$429,8,FALSE),0)</f>
        <v>0</v>
      </c>
      <c r="AE25" s="94">
        <f>IFERROR(VLOOKUP(AE$8,'Planes y paquetes'!$A$391:$BW$429,8,FALSE),0)</f>
        <v>1</v>
      </c>
      <c r="AF25" s="94">
        <f>IFERROR(VLOOKUP(AF$8,'Planes y paquetes'!$A$391:$BW$429,8,FALSE),0)</f>
        <v>2</v>
      </c>
      <c r="AG25" s="94">
        <f>IFERROR(VLOOKUP(AG$8,'Planes y paquetes'!$A$391:$BW$429,8,FALSE),0)</f>
        <v>2</v>
      </c>
      <c r="AH25" s="94">
        <f>IFERROR(VLOOKUP(AH$8,'Planes y paquetes'!$A$391:$BW$429,8,FALSE),0)</f>
        <v>2</v>
      </c>
      <c r="AI25" s="94">
        <f>IFERROR(VLOOKUP(AI$8,'Planes y paquetes'!$A$391:$BW$429,8,FALSE),0)</f>
        <v>2</v>
      </c>
      <c r="AJ25" s="94">
        <f>IFERROR(VLOOKUP(AJ$8,'Planes y paquetes'!$A$391:$BW$429,8,FALSE),0)</f>
        <v>2</v>
      </c>
      <c r="AK25" s="94">
        <f>IFERROR(VLOOKUP(AK$8,'Planes y paquetes'!$A$391:$BW$429,8,FALSE),0)</f>
        <v>4</v>
      </c>
      <c r="AL25" s="94">
        <f>IFERROR(VLOOKUP(AL$8,'Planes y paquetes'!$A$391:$BW$429,8,FALSE),0)</f>
        <v>6</v>
      </c>
      <c r="AM25" s="94">
        <f>IFERROR(VLOOKUP(AM$8,'Planes y paquetes'!$A$391:$BW$429,8,FALSE),0)</f>
        <v>0</v>
      </c>
      <c r="AN25" s="94">
        <f>IFERROR(VLOOKUP(AN$8,'Planes y paquetes'!$A$391:$BW$429,8,FALSE),0)</f>
        <v>0</v>
      </c>
      <c r="AO25" s="94">
        <f>IFERROR(VLOOKUP(AO$8,'Planes y paquetes'!$A$391:$BW$429,8,FALSE),0)</f>
        <v>0</v>
      </c>
      <c r="AP25" s="94">
        <f>IFERROR(VLOOKUP(AP$8,'Planes y paquetes'!$A$391:$BW$429,8,FALSE),0)</f>
        <v>0</v>
      </c>
      <c r="AQ25" s="94">
        <f>IFERROR(VLOOKUP(AQ$8,'Planes y paquetes'!$A$391:$BW$429,8,FALSE),0)</f>
        <v>0</v>
      </c>
      <c r="AR25" s="94">
        <f>IFERROR(VLOOKUP(AR$8,'Planes y paquetes'!$A$391:$BW$429,8,FALSE),0)</f>
        <v>0</v>
      </c>
      <c r="AS25" s="94">
        <f>IFERROR(VLOOKUP(AS$8,'Planes y paquetes'!$A$391:$BW$429,8,FALSE),0)</f>
        <v>0</v>
      </c>
      <c r="AT25" s="94">
        <f>IFERROR(VLOOKUP(AT$8,'Planes y paquetes'!$A$391:$BW$429,8,FALSE),0)</f>
        <v>0</v>
      </c>
      <c r="AU25" s="94">
        <f>IFERROR(VLOOKUP(AU$8,'Planes y paquetes'!$A$391:$BW$429,8,FALSE),0)</f>
        <v>0</v>
      </c>
      <c r="AV25" s="94">
        <f>IFERROR(VLOOKUP(AV$8,'Planes y paquetes'!$A$391:$BW$429,8,FALSE),0)</f>
        <v>0</v>
      </c>
      <c r="AW25" s="94">
        <f>IFERROR(VLOOKUP(AW$8,'Planes y paquetes'!$A$391:$BW$429,8,FALSE),0)</f>
        <v>0</v>
      </c>
      <c r="AX25" s="332" t="s">
        <v>562</v>
      </c>
    </row>
    <row r="26" spans="1:50" ht="12" x14ac:dyDescent="0.2">
      <c r="C26" s="101"/>
    </row>
    <row r="27" spans="1:50" ht="12" x14ac:dyDescent="0.2">
      <c r="B27" s="99">
        <v>2.1</v>
      </c>
      <c r="C27" s="99" t="s">
        <v>563</v>
      </c>
      <c r="D27" s="99"/>
      <c r="E27" s="99"/>
      <c r="F27" s="99"/>
      <c r="G27" s="99"/>
      <c r="H27" s="99"/>
      <c r="I27" s="334">
        <f>I28</f>
        <v>156.55000000000001</v>
      </c>
      <c r="J27" s="334">
        <f t="shared" ref="J27:AW27" si="14">J28</f>
        <v>198</v>
      </c>
      <c r="K27" s="334">
        <f t="shared" si="14"/>
        <v>156.55000000000001</v>
      </c>
      <c r="L27" s="334">
        <f t="shared" si="14"/>
        <v>156.55000000000001</v>
      </c>
      <c r="M27" s="334">
        <f>M28</f>
        <v>156.55000000000001</v>
      </c>
      <c r="N27" s="334">
        <f t="shared" si="14"/>
        <v>156.55000000000001</v>
      </c>
      <c r="O27" s="334">
        <f t="shared" si="14"/>
        <v>156.55000000000001</v>
      </c>
      <c r="P27" s="334">
        <f t="shared" si="14"/>
        <v>156.55000000000001</v>
      </c>
      <c r="Q27" s="334">
        <f t="shared" si="14"/>
        <v>156.55000000000001</v>
      </c>
      <c r="R27" s="334">
        <f t="shared" si="14"/>
        <v>156.55000000000001</v>
      </c>
      <c r="S27" s="334">
        <f>S28</f>
        <v>156.55000000000001</v>
      </c>
      <c r="T27" s="334">
        <f t="shared" si="14"/>
        <v>156.55000000000001</v>
      </c>
      <c r="U27" s="334">
        <f t="shared" si="14"/>
        <v>156.55000000000001</v>
      </c>
      <c r="V27" s="334">
        <f t="shared" si="14"/>
        <v>0</v>
      </c>
      <c r="W27" s="334">
        <f t="shared" si="14"/>
        <v>0</v>
      </c>
      <c r="X27" s="334">
        <f t="shared" si="14"/>
        <v>0</v>
      </c>
      <c r="Y27" s="334">
        <f t="shared" si="14"/>
        <v>0</v>
      </c>
      <c r="Z27" s="334">
        <f>Z28</f>
        <v>0</v>
      </c>
      <c r="AA27" s="334">
        <f t="shared" si="14"/>
        <v>0</v>
      </c>
      <c r="AB27" s="334">
        <f t="shared" si="14"/>
        <v>0</v>
      </c>
      <c r="AC27" s="334">
        <f t="shared" si="14"/>
        <v>0</v>
      </c>
      <c r="AD27" s="334">
        <f t="shared" si="14"/>
        <v>0</v>
      </c>
      <c r="AE27" s="334">
        <f t="shared" si="14"/>
        <v>198</v>
      </c>
      <c r="AF27" s="334">
        <f t="shared" si="14"/>
        <v>198</v>
      </c>
      <c r="AG27" s="334">
        <f t="shared" si="14"/>
        <v>198</v>
      </c>
      <c r="AH27" s="334">
        <f>AH28</f>
        <v>198</v>
      </c>
      <c r="AI27" s="334">
        <f t="shared" si="14"/>
        <v>198</v>
      </c>
      <c r="AJ27" s="334">
        <f t="shared" si="14"/>
        <v>198</v>
      </c>
      <c r="AK27" s="334">
        <f>AK28</f>
        <v>198</v>
      </c>
      <c r="AL27" s="334">
        <f t="shared" si="14"/>
        <v>198</v>
      </c>
      <c r="AM27" s="334">
        <f t="shared" si="14"/>
        <v>0</v>
      </c>
      <c r="AN27" s="334">
        <f t="shared" si="14"/>
        <v>0</v>
      </c>
      <c r="AO27" s="334">
        <f t="shared" si="14"/>
        <v>0</v>
      </c>
      <c r="AP27" s="334">
        <f t="shared" si="14"/>
        <v>0</v>
      </c>
      <c r="AQ27" s="334">
        <f t="shared" si="14"/>
        <v>0</v>
      </c>
      <c r="AR27" s="334">
        <f t="shared" si="14"/>
        <v>0</v>
      </c>
      <c r="AS27" s="334">
        <f t="shared" si="14"/>
        <v>0</v>
      </c>
      <c r="AT27" s="334">
        <f t="shared" si="14"/>
        <v>0</v>
      </c>
      <c r="AU27" s="334">
        <f t="shared" si="14"/>
        <v>0</v>
      </c>
      <c r="AV27" s="334">
        <f t="shared" si="14"/>
        <v>0</v>
      </c>
      <c r="AW27" s="334">
        <f t="shared" si="14"/>
        <v>0</v>
      </c>
      <c r="AX27" s="332" t="s">
        <v>564</v>
      </c>
    </row>
    <row r="28" spans="1:50" ht="12" x14ac:dyDescent="0.2">
      <c r="C28" s="102" t="s">
        <v>565</v>
      </c>
      <c r="G28" s="19" t="s">
        <v>566</v>
      </c>
      <c r="H28" t="s">
        <v>567</v>
      </c>
      <c r="I28" s="335">
        <v>156.55000000000001</v>
      </c>
      <c r="J28" s="335">
        <v>198</v>
      </c>
      <c r="K28" s="336">
        <f>IF(K5&lt;&gt;"Internet fijo", IF(K7="Residencial",$I$28,$J$28),0)</f>
        <v>156.55000000000001</v>
      </c>
      <c r="L28" s="336">
        <f t="shared" ref="L28:AW28" si="15">IF(L5&lt;&gt;"Internet fijo", IF(L7="Residencial",$I$28,$J$28),0)</f>
        <v>156.55000000000001</v>
      </c>
      <c r="M28" s="336">
        <f t="shared" si="15"/>
        <v>156.55000000000001</v>
      </c>
      <c r="N28" s="336">
        <f t="shared" si="15"/>
        <v>156.55000000000001</v>
      </c>
      <c r="O28" s="336">
        <f t="shared" si="15"/>
        <v>156.55000000000001</v>
      </c>
      <c r="P28" s="336">
        <f t="shared" si="15"/>
        <v>156.55000000000001</v>
      </c>
      <c r="Q28" s="336">
        <f t="shared" si="15"/>
        <v>156.55000000000001</v>
      </c>
      <c r="R28" s="336">
        <f t="shared" si="15"/>
        <v>156.55000000000001</v>
      </c>
      <c r="S28" s="336">
        <f t="shared" si="15"/>
        <v>156.55000000000001</v>
      </c>
      <c r="T28" s="336">
        <f t="shared" si="15"/>
        <v>156.55000000000001</v>
      </c>
      <c r="U28" s="336">
        <f t="shared" si="15"/>
        <v>156.55000000000001</v>
      </c>
      <c r="V28" s="336">
        <f t="shared" si="15"/>
        <v>0</v>
      </c>
      <c r="W28" s="336">
        <f t="shared" si="15"/>
        <v>0</v>
      </c>
      <c r="X28" s="336">
        <f t="shared" si="15"/>
        <v>0</v>
      </c>
      <c r="Y28" s="336">
        <f t="shared" si="15"/>
        <v>0</v>
      </c>
      <c r="Z28" s="336">
        <f t="shared" si="15"/>
        <v>0</v>
      </c>
      <c r="AA28" s="336">
        <f t="shared" si="15"/>
        <v>0</v>
      </c>
      <c r="AB28" s="336">
        <f t="shared" si="15"/>
        <v>0</v>
      </c>
      <c r="AC28" s="336">
        <f t="shared" si="15"/>
        <v>0</v>
      </c>
      <c r="AD28" s="336">
        <f t="shared" si="15"/>
        <v>0</v>
      </c>
      <c r="AE28" s="336">
        <f t="shared" si="15"/>
        <v>198</v>
      </c>
      <c r="AF28" s="336">
        <f t="shared" si="15"/>
        <v>198</v>
      </c>
      <c r="AG28" s="336">
        <f t="shared" si="15"/>
        <v>198</v>
      </c>
      <c r="AH28" s="336">
        <f t="shared" si="15"/>
        <v>198</v>
      </c>
      <c r="AI28" s="336">
        <f t="shared" si="15"/>
        <v>198</v>
      </c>
      <c r="AJ28" s="336">
        <f t="shared" si="15"/>
        <v>198</v>
      </c>
      <c r="AK28" s="336">
        <f t="shared" si="15"/>
        <v>198</v>
      </c>
      <c r="AL28" s="336">
        <f t="shared" si="15"/>
        <v>198</v>
      </c>
      <c r="AM28" s="336">
        <f t="shared" si="15"/>
        <v>0</v>
      </c>
      <c r="AN28" s="336">
        <f t="shared" si="15"/>
        <v>0</v>
      </c>
      <c r="AO28" s="336">
        <f t="shared" si="15"/>
        <v>0</v>
      </c>
      <c r="AP28" s="336">
        <f t="shared" si="15"/>
        <v>0</v>
      </c>
      <c r="AQ28" s="336">
        <f t="shared" si="15"/>
        <v>0</v>
      </c>
      <c r="AR28" s="336">
        <f t="shared" si="15"/>
        <v>0</v>
      </c>
      <c r="AS28" s="336">
        <f t="shared" si="15"/>
        <v>0</v>
      </c>
      <c r="AT28" s="336">
        <f t="shared" si="15"/>
        <v>0</v>
      </c>
      <c r="AU28" s="336">
        <f t="shared" si="15"/>
        <v>0</v>
      </c>
      <c r="AV28" s="336">
        <f t="shared" si="15"/>
        <v>0</v>
      </c>
      <c r="AW28" s="336">
        <f t="shared" si="15"/>
        <v>0</v>
      </c>
    </row>
    <row r="29" spans="1:50" x14ac:dyDescent="0.2">
      <c r="AD29">
        <f>AD25*AD28</f>
        <v>0</v>
      </c>
    </row>
    <row r="30" spans="1:50" ht="12" x14ac:dyDescent="0.2">
      <c r="B30" s="99">
        <v>2.2000000000000002</v>
      </c>
      <c r="C30" s="99" t="s">
        <v>568</v>
      </c>
      <c r="D30" s="99"/>
      <c r="E30" s="99"/>
      <c r="F30" s="99"/>
      <c r="G30" s="337" t="s">
        <v>566</v>
      </c>
      <c r="H30" s="99" t="s">
        <v>569</v>
      </c>
      <c r="I30" s="338">
        <v>0</v>
      </c>
      <c r="J30" s="338">
        <v>0</v>
      </c>
      <c r="K30" s="334">
        <f>IFERROR(VLOOKUP(K$3,Precios!$C$366:$Z$404,23,FALSE),0)</f>
        <v>0</v>
      </c>
      <c r="L30" s="334">
        <f>IFERROR(VLOOKUP(L$3,Precios!$C$366:$Z$404,23,FALSE),0)</f>
        <v>5</v>
      </c>
      <c r="M30" s="334">
        <f>IFERROR(VLOOKUP(M$3,Precios!$C$366:$Z$404,23,FALSE),0)</f>
        <v>7</v>
      </c>
      <c r="N30" s="334">
        <f>IFERROR(VLOOKUP(N$3,Precios!$C$366:$Z$404,23,FALSE),0)</f>
        <v>42</v>
      </c>
      <c r="O30" s="334">
        <f>IFERROR(VLOOKUP(O$3,Precios!$C$366:$Z$404,23,FALSE),0)</f>
        <v>37</v>
      </c>
      <c r="P30" s="334">
        <f>IFERROR(VLOOKUP(P$3,Precios!$C$366:$Z$404,23,FALSE),0)</f>
        <v>32</v>
      </c>
      <c r="Q30" s="334">
        <f>IFERROR(VLOOKUP(Q$3,Precios!$C$366:$Z$404,23,FALSE),0)</f>
        <v>46</v>
      </c>
      <c r="R30" s="334">
        <f>IFERROR(VLOOKUP(R$3,Precios!$C$366:$Z$404,23,FALSE),0)</f>
        <v>51</v>
      </c>
      <c r="S30" s="334">
        <f>IFERROR(VLOOKUP(S$3,Precios!$C$366:$Z$404,23,FALSE),0)</f>
        <v>48</v>
      </c>
      <c r="T30" s="334">
        <f>IFERROR(VLOOKUP(T$3,Precios!$C$366:$Z$404,23,FALSE),0)</f>
        <v>40</v>
      </c>
      <c r="U30" s="334">
        <f>IFERROR(VLOOKUP(U$3,Precios!$C$366:$Z$404,23,FALSE),0)</f>
        <v>20</v>
      </c>
      <c r="V30" s="334">
        <f>IFERROR(VLOOKUP(V$3,Precios!$C$366:$Z$404,23,FALSE),0)</f>
        <v>0</v>
      </c>
      <c r="W30" s="334">
        <f>IFERROR(VLOOKUP(W$3,Precios!$C$366:$Z$404,23,FALSE),0)</f>
        <v>0</v>
      </c>
      <c r="X30" s="334">
        <f>IFERROR(VLOOKUP(X$3,Precios!$C$366:$Z$404,23,FALSE),0)</f>
        <v>0</v>
      </c>
      <c r="Y30" s="334">
        <f>IFERROR(VLOOKUP(Y$3,Precios!$C$366:$Z$404,23,FALSE),0)</f>
        <v>0</v>
      </c>
      <c r="Z30" s="334">
        <f>IFERROR(VLOOKUP(Z$3,Precios!$C$366:$Z$404,23,FALSE),0)</f>
        <v>0</v>
      </c>
      <c r="AA30" s="334">
        <f>IFERROR(VLOOKUP(AA$3,Precios!$C$366:$Z$404,23,FALSE),0)</f>
        <v>0</v>
      </c>
      <c r="AB30" s="334">
        <f>IFERROR(VLOOKUP(AB$3,Precios!$C$366:$Z$404,23,FALSE),0)</f>
        <v>0</v>
      </c>
      <c r="AC30" s="334">
        <f>IFERROR(VLOOKUP(AC$3,Precios!$C$366:$Z$404,23,FALSE),0)</f>
        <v>0</v>
      </c>
      <c r="AD30" s="334">
        <f>IFERROR(VLOOKUP(AD$3,Precios!$C$366:$Z$404,23,FALSE),0)</f>
        <v>0</v>
      </c>
      <c r="AE30" s="334">
        <f>IFERROR(VLOOKUP(AE$3,Precios!$C$366:$Z$404,23,FALSE),0)</f>
        <v>25</v>
      </c>
      <c r="AF30" s="334">
        <f>IFERROR(VLOOKUP(AF$3,Precios!$C$366:$Z$404,23,FALSE),0)</f>
        <v>39</v>
      </c>
      <c r="AG30" s="334">
        <f>IFERROR(VLOOKUP(AG$3,Precios!$C$366:$Z$404,23,FALSE),0)</f>
        <v>48</v>
      </c>
      <c r="AH30" s="334">
        <f>IFERROR(VLOOKUP(AH$3,Precios!$C$366:$Z$404,23,FALSE),0)</f>
        <v>50</v>
      </c>
      <c r="AI30" s="334">
        <f>IFERROR(VLOOKUP(AI$3,Precios!$C$366:$Z$404,23,FALSE),0)</f>
        <v>36</v>
      </c>
      <c r="AJ30" s="334">
        <f>IFERROR(VLOOKUP(AJ$3,Precios!$C$366:$Z$404,23,FALSE),0)</f>
        <v>58</v>
      </c>
      <c r="AK30" s="334">
        <f>IFERROR(VLOOKUP(AK$3,Precios!$C$366:$Z$404,23,FALSE),0)</f>
        <v>66</v>
      </c>
      <c r="AL30" s="334">
        <f>IFERROR(VLOOKUP(AL$3,Precios!$C$366:$Z$404,23,FALSE),0)</f>
        <v>42</v>
      </c>
      <c r="AM30" s="334">
        <f>IFERROR(VLOOKUP(AM$3,Precios!$C$366:$Z$404,23,FALSE),0)</f>
        <v>0</v>
      </c>
      <c r="AN30" s="334">
        <f>IFERROR(VLOOKUP(AN$3,Precios!$C$366:$Z$404,23,FALSE),0)</f>
        <v>0</v>
      </c>
      <c r="AO30" s="334">
        <f>IFERROR(VLOOKUP(AO$3,Precios!$C$366:$Z$404,23,FALSE),0)</f>
        <v>0</v>
      </c>
      <c r="AP30" s="334">
        <f>IFERROR(VLOOKUP(AP$3,Precios!$C$366:$Z$404,23,FALSE),0)</f>
        <v>0</v>
      </c>
      <c r="AQ30" s="334">
        <f>IFERROR(VLOOKUP(AQ$3,Precios!$C$366:$Z$404,23,FALSE),0)</f>
        <v>0</v>
      </c>
      <c r="AR30" s="334">
        <f>IFERROR(VLOOKUP(AR$3,Precios!$C$366:$Z$404,23,FALSE),0)</f>
        <v>0</v>
      </c>
      <c r="AS30" s="334">
        <f>IFERROR(VLOOKUP(AS$3,Precios!$C$366:$Z$404,23,FALSE),0)</f>
        <v>0</v>
      </c>
      <c r="AT30" s="334">
        <f>IFERROR(VLOOKUP(AT$3,Precios!$C$366:$Z$404,23,FALSE),0)</f>
        <v>0</v>
      </c>
      <c r="AU30" s="334">
        <f>IFERROR(VLOOKUP(AU$3,Precios!$C$366:$Z$404,23,FALSE),0)</f>
        <v>0</v>
      </c>
      <c r="AV30" s="334">
        <f>IFERROR(VLOOKUP(AV$3,Precios!$C$366:$Z$404,23,FALSE),0)</f>
        <v>0</v>
      </c>
      <c r="AW30" s="334">
        <f>IFERROR(VLOOKUP(AW$3,Precios!$C$366:$Z$404,23,FALSE),0)</f>
        <v>0</v>
      </c>
      <c r="AX30" s="332" t="s">
        <v>570</v>
      </c>
    </row>
    <row r="32" spans="1:50" x14ac:dyDescent="0.2">
      <c r="I32" s="339"/>
    </row>
    <row r="34" spans="2:50" ht="12" x14ac:dyDescent="0.2">
      <c r="B34" s="99">
        <v>2.2999999999999998</v>
      </c>
      <c r="C34" s="99" t="s">
        <v>571</v>
      </c>
      <c r="D34" s="99"/>
      <c r="E34" s="99"/>
      <c r="F34" s="99"/>
      <c r="G34" s="99"/>
      <c r="H34" s="99"/>
      <c r="I34" s="334">
        <f>I40</f>
        <v>2.5</v>
      </c>
      <c r="J34" s="334">
        <f t="shared" ref="J34:AW34" si="16">J40</f>
        <v>0</v>
      </c>
      <c r="K34" s="334">
        <f t="shared" si="16"/>
        <v>0</v>
      </c>
      <c r="L34" s="334">
        <f t="shared" si="16"/>
        <v>0</v>
      </c>
      <c r="M34" s="334">
        <f t="shared" si="16"/>
        <v>0</v>
      </c>
      <c r="N34" s="334">
        <f>N40</f>
        <v>77.5</v>
      </c>
      <c r="O34" s="334">
        <f t="shared" si="16"/>
        <v>77.5</v>
      </c>
      <c r="P34" s="334">
        <f t="shared" si="16"/>
        <v>77.5</v>
      </c>
      <c r="Q34" s="334">
        <f t="shared" si="16"/>
        <v>77.5</v>
      </c>
      <c r="R34" s="334">
        <f t="shared" si="16"/>
        <v>77.5</v>
      </c>
      <c r="S34" s="334">
        <f t="shared" si="16"/>
        <v>77.5</v>
      </c>
      <c r="T34" s="334">
        <f t="shared" si="16"/>
        <v>77.5</v>
      </c>
      <c r="U34" s="334">
        <f t="shared" si="16"/>
        <v>77.5</v>
      </c>
      <c r="V34" s="334">
        <f t="shared" si="16"/>
        <v>0</v>
      </c>
      <c r="W34" s="334">
        <f t="shared" si="16"/>
        <v>0</v>
      </c>
      <c r="X34" s="334">
        <f t="shared" si="16"/>
        <v>0</v>
      </c>
      <c r="Y34" s="334">
        <f t="shared" si="16"/>
        <v>0</v>
      </c>
      <c r="Z34" s="334">
        <f>Z40</f>
        <v>0</v>
      </c>
      <c r="AA34" s="334">
        <f t="shared" si="16"/>
        <v>0</v>
      </c>
      <c r="AB34" s="334">
        <f t="shared" si="16"/>
        <v>0</v>
      </c>
      <c r="AC34" s="334">
        <f t="shared" si="16"/>
        <v>0</v>
      </c>
      <c r="AD34" s="334">
        <f t="shared" si="16"/>
        <v>0</v>
      </c>
      <c r="AE34" s="334">
        <f t="shared" si="16"/>
        <v>80</v>
      </c>
      <c r="AF34" s="334">
        <f t="shared" si="16"/>
        <v>80</v>
      </c>
      <c r="AG34" s="334">
        <f t="shared" si="16"/>
        <v>80</v>
      </c>
      <c r="AH34" s="334">
        <f t="shared" si="16"/>
        <v>80</v>
      </c>
      <c r="AI34" s="334">
        <f t="shared" si="16"/>
        <v>80</v>
      </c>
      <c r="AJ34" s="334">
        <f t="shared" si="16"/>
        <v>80</v>
      </c>
      <c r="AK34" s="334">
        <f t="shared" si="16"/>
        <v>80</v>
      </c>
      <c r="AL34" s="334">
        <f t="shared" si="16"/>
        <v>80</v>
      </c>
      <c r="AM34" s="334">
        <f t="shared" si="16"/>
        <v>0</v>
      </c>
      <c r="AN34" s="334">
        <f t="shared" si="16"/>
        <v>0</v>
      </c>
      <c r="AO34" s="334">
        <f t="shared" si="16"/>
        <v>0</v>
      </c>
      <c r="AP34" s="334">
        <f t="shared" si="16"/>
        <v>0</v>
      </c>
      <c r="AQ34" s="334">
        <f t="shared" si="16"/>
        <v>0</v>
      </c>
      <c r="AR34" s="334">
        <f t="shared" si="16"/>
        <v>0</v>
      </c>
      <c r="AS34" s="334">
        <f t="shared" si="16"/>
        <v>0</v>
      </c>
      <c r="AT34" s="334">
        <f t="shared" si="16"/>
        <v>0</v>
      </c>
      <c r="AU34" s="334">
        <f t="shared" si="16"/>
        <v>0</v>
      </c>
      <c r="AV34" s="334">
        <f t="shared" si="16"/>
        <v>0</v>
      </c>
      <c r="AW34" s="334">
        <f t="shared" si="16"/>
        <v>0</v>
      </c>
      <c r="AX34" s="332" t="s">
        <v>572</v>
      </c>
    </row>
    <row r="36" spans="2:50" ht="12" x14ac:dyDescent="0.2">
      <c r="C36" t="s">
        <v>573</v>
      </c>
      <c r="G36" s="19" t="s">
        <v>158</v>
      </c>
      <c r="H36" t="s">
        <v>534</v>
      </c>
      <c r="I36" s="333">
        <v>3</v>
      </c>
      <c r="J36" s="333">
        <f>IFERROR(VLOOKUP(J$3,#REF!,11,FALSE),0)</f>
        <v>0</v>
      </c>
      <c r="K36" s="94">
        <f>IFERROR(VLOOKUP(K$8,'Planes y paquetes'!$A$391:$BW$429,13,FALSE),0)</f>
        <v>0</v>
      </c>
      <c r="L36" s="94">
        <f>IFERROR(VLOOKUP(L$8,'Planes y paquetes'!$A$391:$BW$429,13,FALSE),0)</f>
        <v>0</v>
      </c>
      <c r="M36" s="94">
        <f>IFERROR(VLOOKUP(M$8,'Planes y paquetes'!$A$391:$BW$429,13,FALSE),0)</f>
        <v>0</v>
      </c>
      <c r="N36" s="94">
        <f>IFERROR(VLOOKUP(N$8,'Planes y paquetes'!$A$391:$BW$429,13,FALSE),0)</f>
        <v>5</v>
      </c>
      <c r="O36" s="94">
        <f>IFERROR(VLOOKUP(O$8,'Planes y paquetes'!$A$391:$BW$429,13,FALSE),0)</f>
        <v>5</v>
      </c>
      <c r="P36" s="94">
        <f>IFERROR(VLOOKUP(P$8,'Planes y paquetes'!$A$391:$BW$429,13,FALSE),0)</f>
        <v>5</v>
      </c>
      <c r="Q36" s="94">
        <f>IFERROR(VLOOKUP(Q$8,'Planes y paquetes'!$A$391:$BW$429,13,FALSE),0)</f>
        <v>5</v>
      </c>
      <c r="R36" s="94">
        <f>IFERROR(VLOOKUP(R$8,'Planes y paquetes'!$A$391:$BW$429,13,FALSE),0)</f>
        <v>5</v>
      </c>
      <c r="S36" s="94">
        <f>IFERROR(VLOOKUP(S$8,'Planes y paquetes'!$A$391:$BW$429,13,FALSE),0)</f>
        <v>5</v>
      </c>
      <c r="T36" s="94">
        <f>IFERROR(VLOOKUP(T$8,'Planes y paquetes'!$A$391:$BW$429,13,FALSE),0)</f>
        <v>5</v>
      </c>
      <c r="U36" s="94">
        <f>IFERROR(VLOOKUP(U$8,'Planes y paquetes'!$A$391:$BW$429,13,FALSE),0)</f>
        <v>5</v>
      </c>
      <c r="V36" s="94">
        <f>IFERROR(VLOOKUP(V$8,'Planes y paquetes'!$A$391:$BW$429,13,FALSE),0)</f>
        <v>0</v>
      </c>
      <c r="W36" s="94">
        <f>IFERROR(VLOOKUP(W$8,'Planes y paquetes'!$A$391:$BW$429,13,FALSE),0)</f>
        <v>0</v>
      </c>
      <c r="X36" s="94">
        <f>IFERROR(VLOOKUP(X$8,'Planes y paquetes'!$A$391:$BW$429,13,FALSE),0)</f>
        <v>0</v>
      </c>
      <c r="Y36" s="94">
        <f>IFERROR(VLOOKUP(Y$8,'Planes y paquetes'!$A$391:$BW$429,13,FALSE),0)</f>
        <v>0</v>
      </c>
      <c r="Z36" s="94">
        <f>IFERROR(VLOOKUP(Z$8,'Planes y paquetes'!$A$391:$BW$429,13,FALSE),0)</f>
        <v>0</v>
      </c>
      <c r="AA36" s="94">
        <f>IFERROR(VLOOKUP(AA$8,'Planes y paquetes'!$A$391:$BW$429,13,FALSE),0)</f>
        <v>0</v>
      </c>
      <c r="AB36" s="94">
        <f>IFERROR(VLOOKUP(AB$8,'Planes y paquetes'!$A$391:$BW$429,13,FALSE),0)</f>
        <v>0</v>
      </c>
      <c r="AC36" s="94">
        <f>IFERROR(VLOOKUP(AC$8,'Planes y paquetes'!$A$391:$BW$429,13,FALSE),0)</f>
        <v>0</v>
      </c>
      <c r="AD36" s="94">
        <f>IFERROR(VLOOKUP(AD$8,'Planes y paquetes'!$A$391:$BW$429,13,FALSE),0)</f>
        <v>0</v>
      </c>
      <c r="AE36" s="94">
        <f>IFERROR(VLOOKUP(AE$8,'Planes y paquetes'!$A$391:$BW$429,13,FALSE),0)</f>
        <v>5</v>
      </c>
      <c r="AF36" s="94">
        <f>IFERROR(VLOOKUP(AF$8,'Planes y paquetes'!$A$391:$BW$429,13,FALSE),0)</f>
        <v>5</v>
      </c>
      <c r="AG36" s="94">
        <f>IFERROR(VLOOKUP(AG$8,'Planes y paquetes'!$A$391:$BW$429,13,FALSE),0)</f>
        <v>5</v>
      </c>
      <c r="AH36" s="94">
        <f>IFERROR(VLOOKUP(AH$8,'Planes y paquetes'!$A$391:$BW$429,13,FALSE),0)</f>
        <v>5</v>
      </c>
      <c r="AI36" s="94">
        <f>IFERROR(VLOOKUP(AI$8,'Planes y paquetes'!$A$391:$BW$429,13,FALSE),0)</f>
        <v>5</v>
      </c>
      <c r="AJ36" s="94">
        <f>IFERROR(VLOOKUP(AJ$8,'Planes y paquetes'!$A$391:$BW$429,13,FALSE),0)</f>
        <v>5</v>
      </c>
      <c r="AK36" s="94">
        <f>IFERROR(VLOOKUP(AK$8,'Planes y paquetes'!$A$391:$BW$429,13,FALSE),0)</f>
        <v>5</v>
      </c>
      <c r="AL36" s="94">
        <f>IFERROR(VLOOKUP(AL$8,'Planes y paquetes'!$A$391:$BW$429,13,FALSE),0)</f>
        <v>5</v>
      </c>
      <c r="AM36" s="94">
        <f>IFERROR(VLOOKUP(AM$8,'Planes y paquetes'!$A$391:$BW$429,13,FALSE),0)</f>
        <v>0</v>
      </c>
      <c r="AN36" s="94">
        <f>IFERROR(VLOOKUP(AN$8,'Planes y paquetes'!$A$391:$BW$429,13,FALSE),0)</f>
        <v>0</v>
      </c>
      <c r="AO36" s="94">
        <f>IFERROR(VLOOKUP(AO$8,'Planes y paquetes'!$A$391:$BW$429,13,FALSE),0)</f>
        <v>0</v>
      </c>
      <c r="AP36" s="94">
        <f>IFERROR(VLOOKUP(AP$8,'Planes y paquetes'!$A$391:$BW$429,13,FALSE),0)</f>
        <v>0</v>
      </c>
      <c r="AQ36" s="94">
        <f>IFERROR(VLOOKUP(AQ$8,'Planes y paquetes'!$A$391:$BW$429,13,FALSE),0)</f>
        <v>0</v>
      </c>
      <c r="AR36" s="94">
        <f>IFERROR(VLOOKUP(AR$8,'Planes y paquetes'!$A$391:$BW$429,13,FALSE),0)</f>
        <v>0</v>
      </c>
      <c r="AS36" s="94">
        <f>IFERROR(VLOOKUP(AS$8,'Planes y paquetes'!$A$391:$BW$429,13,FALSE),0)</f>
        <v>0</v>
      </c>
      <c r="AT36" s="94">
        <f>IFERROR(VLOOKUP(AT$8,'Planes y paquetes'!$A$391:$BW$429,13,FALSE),0)</f>
        <v>0</v>
      </c>
      <c r="AU36" s="94">
        <f>IFERROR(VLOOKUP(AU$8,'Planes y paquetes'!$A$391:$BW$429,13,FALSE),0)</f>
        <v>0</v>
      </c>
      <c r="AV36" s="94">
        <f>IFERROR(VLOOKUP(AV$8,'Planes y paquetes'!$A$391:$BW$429,13,FALSE),0)</f>
        <v>0</v>
      </c>
      <c r="AW36" s="94">
        <f>IFERROR(VLOOKUP(AW$8,'Planes y paquetes'!$A$391:$BW$429,13,FALSE),0)</f>
        <v>0</v>
      </c>
    </row>
    <row r="38" spans="2:50" ht="12" x14ac:dyDescent="0.2">
      <c r="C38" s="102" t="s">
        <v>574</v>
      </c>
      <c r="G38" s="19" t="s">
        <v>566</v>
      </c>
      <c r="H38" t="s">
        <v>567</v>
      </c>
      <c r="I38" s="340">
        <f>I36*3*unit.cost.digital.service.3/(12*years.client.retention)</f>
        <v>2.5</v>
      </c>
      <c r="J38" s="341">
        <f>J36*unit.cost.digital.service.5</f>
        <v>0</v>
      </c>
      <c r="K38" s="336">
        <f t="shared" ref="K38:AP38" si="17">IF(K36&gt;0,IF(K7="Residencial",5*unit.cost.digital.service.5-3*3*unit.cost.digital.service.3/(12*years.client.retention),K36*unit.cost.digital.service.5),0)</f>
        <v>0</v>
      </c>
      <c r="L38" s="336">
        <f t="shared" si="17"/>
        <v>0</v>
      </c>
      <c r="M38" s="336">
        <f t="shared" si="17"/>
        <v>0</v>
      </c>
      <c r="N38" s="336">
        <f t="shared" si="17"/>
        <v>77.5</v>
      </c>
      <c r="O38" s="336">
        <f t="shared" si="17"/>
        <v>77.5</v>
      </c>
      <c r="P38" s="336">
        <f t="shared" si="17"/>
        <v>77.5</v>
      </c>
      <c r="Q38" s="336">
        <f t="shared" si="17"/>
        <v>77.5</v>
      </c>
      <c r="R38" s="336">
        <f t="shared" si="17"/>
        <v>77.5</v>
      </c>
      <c r="S38" s="336">
        <f t="shared" si="17"/>
        <v>77.5</v>
      </c>
      <c r="T38" s="336">
        <f t="shared" si="17"/>
        <v>77.5</v>
      </c>
      <c r="U38" s="336">
        <f t="shared" si="17"/>
        <v>77.5</v>
      </c>
      <c r="V38" s="336">
        <f t="shared" si="17"/>
        <v>0</v>
      </c>
      <c r="W38" s="336">
        <f t="shared" si="17"/>
        <v>0</v>
      </c>
      <c r="X38" s="336">
        <f t="shared" si="17"/>
        <v>0</v>
      </c>
      <c r="Y38" s="336">
        <f t="shared" si="17"/>
        <v>0</v>
      </c>
      <c r="Z38" s="336">
        <f t="shared" si="17"/>
        <v>0</v>
      </c>
      <c r="AA38" s="336">
        <f t="shared" si="17"/>
        <v>0</v>
      </c>
      <c r="AB38" s="336">
        <f t="shared" si="17"/>
        <v>0</v>
      </c>
      <c r="AC38" s="336">
        <f t="shared" si="17"/>
        <v>0</v>
      </c>
      <c r="AD38" s="336">
        <f t="shared" si="17"/>
        <v>0</v>
      </c>
      <c r="AE38" s="336">
        <f t="shared" si="17"/>
        <v>80</v>
      </c>
      <c r="AF38" s="336">
        <f t="shared" si="17"/>
        <v>80</v>
      </c>
      <c r="AG38" s="336">
        <f t="shared" si="17"/>
        <v>80</v>
      </c>
      <c r="AH38" s="336">
        <f t="shared" si="17"/>
        <v>80</v>
      </c>
      <c r="AI38" s="336">
        <f t="shared" si="17"/>
        <v>80</v>
      </c>
      <c r="AJ38" s="336">
        <f t="shared" si="17"/>
        <v>80</v>
      </c>
      <c r="AK38" s="336">
        <f t="shared" si="17"/>
        <v>80</v>
      </c>
      <c r="AL38" s="336">
        <f t="shared" si="17"/>
        <v>80</v>
      </c>
      <c r="AM38" s="336">
        <f t="shared" si="17"/>
        <v>0</v>
      </c>
      <c r="AN38" s="336">
        <f t="shared" si="17"/>
        <v>0</v>
      </c>
      <c r="AO38" s="336">
        <f t="shared" si="17"/>
        <v>0</v>
      </c>
      <c r="AP38" s="336">
        <f t="shared" si="17"/>
        <v>0</v>
      </c>
      <c r="AQ38" s="336">
        <f t="shared" ref="AQ38:AW38" si="18">IF(AQ36&gt;0,IF(AQ7="Residencial",5*unit.cost.digital.service.5-3*3*unit.cost.digital.service.3/(12*years.client.retention),AQ36*unit.cost.digital.service.5),0)</f>
        <v>0</v>
      </c>
      <c r="AR38" s="336">
        <f t="shared" si="18"/>
        <v>0</v>
      </c>
      <c r="AS38" s="336">
        <f t="shared" si="18"/>
        <v>0</v>
      </c>
      <c r="AT38" s="336">
        <f t="shared" si="18"/>
        <v>0</v>
      </c>
      <c r="AU38" s="336">
        <f t="shared" si="18"/>
        <v>0</v>
      </c>
      <c r="AV38" s="336">
        <f t="shared" si="18"/>
        <v>0</v>
      </c>
      <c r="AW38" s="336">
        <f t="shared" si="18"/>
        <v>0</v>
      </c>
    </row>
    <row r="39" spans="2:50" x14ac:dyDescent="0.2">
      <c r="C39" s="102"/>
      <c r="G39" s="19"/>
    </row>
    <row r="40" spans="2:50" ht="12" x14ac:dyDescent="0.2">
      <c r="C40" s="102" t="s">
        <v>575</v>
      </c>
      <c r="G40" s="19" t="s">
        <v>566</v>
      </c>
      <c r="H40" t="s">
        <v>567</v>
      </c>
      <c r="I40" s="336">
        <f>I38</f>
        <v>2.5</v>
      </c>
      <c r="J40" s="336">
        <f t="shared" ref="J40:AW40" si="19">J38</f>
        <v>0</v>
      </c>
      <c r="K40" s="336">
        <f t="shared" si="19"/>
        <v>0</v>
      </c>
      <c r="L40" s="336">
        <f t="shared" si="19"/>
        <v>0</v>
      </c>
      <c r="M40" s="336">
        <f t="shared" si="19"/>
        <v>0</v>
      </c>
      <c r="N40" s="336">
        <f t="shared" si="19"/>
        <v>77.5</v>
      </c>
      <c r="O40" s="336">
        <f t="shared" si="19"/>
        <v>77.5</v>
      </c>
      <c r="P40" s="336">
        <f t="shared" si="19"/>
        <v>77.5</v>
      </c>
      <c r="Q40" s="336">
        <f t="shared" si="19"/>
        <v>77.5</v>
      </c>
      <c r="R40" s="336">
        <f t="shared" si="19"/>
        <v>77.5</v>
      </c>
      <c r="S40" s="336">
        <f t="shared" si="19"/>
        <v>77.5</v>
      </c>
      <c r="T40" s="336">
        <f t="shared" si="19"/>
        <v>77.5</v>
      </c>
      <c r="U40" s="336">
        <f t="shared" si="19"/>
        <v>77.5</v>
      </c>
      <c r="V40" s="336">
        <f t="shared" si="19"/>
        <v>0</v>
      </c>
      <c r="W40" s="336">
        <f t="shared" si="19"/>
        <v>0</v>
      </c>
      <c r="X40" s="336">
        <f t="shared" si="19"/>
        <v>0</v>
      </c>
      <c r="Y40" s="336">
        <f t="shared" si="19"/>
        <v>0</v>
      </c>
      <c r="Z40" s="336">
        <f t="shared" si="19"/>
        <v>0</v>
      </c>
      <c r="AA40" s="336">
        <f t="shared" si="19"/>
        <v>0</v>
      </c>
      <c r="AB40" s="336">
        <f t="shared" si="19"/>
        <v>0</v>
      </c>
      <c r="AC40" s="336">
        <f t="shared" si="19"/>
        <v>0</v>
      </c>
      <c r="AD40" s="336">
        <f t="shared" si="19"/>
        <v>0</v>
      </c>
      <c r="AE40" s="336">
        <f t="shared" si="19"/>
        <v>80</v>
      </c>
      <c r="AF40" s="336">
        <f t="shared" si="19"/>
        <v>80</v>
      </c>
      <c r="AG40" s="336">
        <f t="shared" si="19"/>
        <v>80</v>
      </c>
      <c r="AH40" s="336">
        <f t="shared" si="19"/>
        <v>80</v>
      </c>
      <c r="AI40" s="336">
        <f t="shared" si="19"/>
        <v>80</v>
      </c>
      <c r="AJ40" s="336">
        <f t="shared" si="19"/>
        <v>80</v>
      </c>
      <c r="AK40" s="336">
        <f t="shared" si="19"/>
        <v>80</v>
      </c>
      <c r="AL40" s="336">
        <f t="shared" si="19"/>
        <v>80</v>
      </c>
      <c r="AM40" s="336">
        <f t="shared" si="19"/>
        <v>0</v>
      </c>
      <c r="AN40" s="336">
        <f t="shared" si="19"/>
        <v>0</v>
      </c>
      <c r="AO40" s="336">
        <f t="shared" si="19"/>
        <v>0</v>
      </c>
      <c r="AP40" s="336">
        <f t="shared" si="19"/>
        <v>0</v>
      </c>
      <c r="AQ40" s="336">
        <f t="shared" si="19"/>
        <v>0</v>
      </c>
      <c r="AR40" s="336">
        <f t="shared" si="19"/>
        <v>0</v>
      </c>
      <c r="AS40" s="336">
        <f t="shared" si="19"/>
        <v>0</v>
      </c>
      <c r="AT40" s="336">
        <f t="shared" si="19"/>
        <v>0</v>
      </c>
      <c r="AU40" s="336">
        <f t="shared" si="19"/>
        <v>0</v>
      </c>
      <c r="AV40" s="336">
        <f t="shared" si="19"/>
        <v>0</v>
      </c>
      <c r="AW40" s="336">
        <f t="shared" si="19"/>
        <v>0</v>
      </c>
    </row>
    <row r="42" spans="2:50" ht="12" x14ac:dyDescent="0.2">
      <c r="B42" s="99">
        <v>2.4</v>
      </c>
      <c r="C42" s="99" t="s">
        <v>576</v>
      </c>
      <c r="D42" s="99"/>
      <c r="E42" s="99"/>
      <c r="F42" s="99"/>
      <c r="G42" s="99"/>
      <c r="H42" s="99"/>
    </row>
    <row r="43" spans="2:50" x14ac:dyDescent="0.2">
      <c r="AF43" s="230"/>
    </row>
    <row r="44" spans="2:50" x14ac:dyDescent="0.2">
      <c r="C44" s="102" t="s">
        <v>577</v>
      </c>
      <c r="G44" s="19" t="s">
        <v>223</v>
      </c>
      <c r="I44" s="163">
        <f>IFERROR(1-SUM(I27,I30)/SUM(I27,I30,I34),0)</f>
        <v>1.5718327569946511E-2</v>
      </c>
      <c r="J44" s="163">
        <f t="shared" ref="J44:AW44" si="20">IFERROR(1-SUM(J27,J30)/SUM(J27,J30,J34),0)</f>
        <v>0</v>
      </c>
      <c r="K44" s="163">
        <f t="shared" si="20"/>
        <v>0</v>
      </c>
      <c r="L44" s="163">
        <f t="shared" si="20"/>
        <v>0</v>
      </c>
      <c r="M44" s="163">
        <f t="shared" si="20"/>
        <v>0</v>
      </c>
      <c r="N44" s="163">
        <f t="shared" si="20"/>
        <v>0.28074624162289441</v>
      </c>
      <c r="O44" s="163">
        <f t="shared" si="20"/>
        <v>0.28592510606899091</v>
      </c>
      <c r="P44" s="163">
        <f t="shared" si="20"/>
        <v>0.29129862807742901</v>
      </c>
      <c r="Q44" s="163">
        <f t="shared" si="20"/>
        <v>0.27673629708980541</v>
      </c>
      <c r="R44" s="163">
        <f t="shared" si="20"/>
        <v>0.27188212594281702</v>
      </c>
      <c r="S44" s="163">
        <f t="shared" si="20"/>
        <v>0.27477397624534661</v>
      </c>
      <c r="T44" s="163">
        <f t="shared" si="20"/>
        <v>0.28279511038131722</v>
      </c>
      <c r="U44" s="163">
        <f t="shared" si="20"/>
        <v>0.30505805943711861</v>
      </c>
      <c r="V44" s="163">
        <f t="shared" si="20"/>
        <v>0</v>
      </c>
      <c r="W44" s="163">
        <f t="shared" si="20"/>
        <v>0</v>
      </c>
      <c r="X44" s="163">
        <f t="shared" si="20"/>
        <v>0</v>
      </c>
      <c r="Y44" s="163">
        <f t="shared" si="20"/>
        <v>0</v>
      </c>
      <c r="Z44" s="163">
        <f t="shared" si="20"/>
        <v>0</v>
      </c>
      <c r="AA44" s="163">
        <f t="shared" si="20"/>
        <v>0</v>
      </c>
      <c r="AB44" s="163">
        <f t="shared" si="20"/>
        <v>0</v>
      </c>
      <c r="AC44" s="163">
        <f t="shared" si="20"/>
        <v>0</v>
      </c>
      <c r="AD44" s="163">
        <f t="shared" si="20"/>
        <v>0</v>
      </c>
      <c r="AE44" s="163">
        <f t="shared" si="20"/>
        <v>0.264026402640264</v>
      </c>
      <c r="AF44" s="163">
        <f t="shared" si="20"/>
        <v>0.25236593059936907</v>
      </c>
      <c r="AG44" s="163">
        <f t="shared" si="20"/>
        <v>0.245398773006135</v>
      </c>
      <c r="AH44" s="163">
        <f t="shared" si="20"/>
        <v>0.24390243902439024</v>
      </c>
      <c r="AI44" s="163">
        <f t="shared" si="20"/>
        <v>0.25477707006369432</v>
      </c>
      <c r="AJ44" s="163">
        <f t="shared" si="20"/>
        <v>0.23809523809523814</v>
      </c>
      <c r="AK44" s="163">
        <f t="shared" si="20"/>
        <v>0.23255813953488369</v>
      </c>
      <c r="AL44" s="163">
        <f t="shared" si="20"/>
        <v>0.25</v>
      </c>
      <c r="AM44" s="163">
        <f t="shared" si="20"/>
        <v>0</v>
      </c>
      <c r="AN44" s="163">
        <f t="shared" si="20"/>
        <v>0</v>
      </c>
      <c r="AO44" s="163">
        <f t="shared" si="20"/>
        <v>0</v>
      </c>
      <c r="AP44" s="163">
        <f t="shared" si="20"/>
        <v>0</v>
      </c>
      <c r="AQ44" s="163">
        <f t="shared" si="20"/>
        <v>0</v>
      </c>
      <c r="AR44" s="163">
        <f t="shared" si="20"/>
        <v>0</v>
      </c>
      <c r="AS44" s="163">
        <f t="shared" si="20"/>
        <v>0</v>
      </c>
      <c r="AT44" s="163">
        <f t="shared" si="20"/>
        <v>0</v>
      </c>
      <c r="AU44" s="163">
        <f t="shared" si="20"/>
        <v>0</v>
      </c>
      <c r="AV44" s="163">
        <f t="shared" si="20"/>
        <v>0</v>
      </c>
      <c r="AW44" s="163">
        <f t="shared" si="20"/>
        <v>0</v>
      </c>
    </row>
    <row r="45" spans="2:50" ht="12" x14ac:dyDescent="0.2">
      <c r="C45" s="102"/>
      <c r="G45" s="19" t="s">
        <v>223</v>
      </c>
      <c r="H45" s="342">
        <f>SUMPRODUCT(I44:AW44,vector.users.distribution.telephone)</f>
        <v>0.20220332582533776</v>
      </c>
    </row>
    <row r="46" spans="2:50" x14ac:dyDescent="0.2">
      <c r="C46" s="102"/>
      <c r="G46" s="19"/>
      <c r="I46" s="230"/>
      <c r="J46" s="230"/>
      <c r="K46" s="230"/>
      <c r="L46" s="230"/>
    </row>
    <row r="47" spans="2:50" x14ac:dyDescent="0.2">
      <c r="I47" s="230"/>
    </row>
    <row r="48" spans="2:50" ht="12" x14ac:dyDescent="0.2">
      <c r="B48">
        <v>2.5</v>
      </c>
      <c r="C48" s="99" t="s">
        <v>578</v>
      </c>
      <c r="D48" s="99"/>
      <c r="E48" s="99"/>
      <c r="F48" s="99"/>
      <c r="G48" s="99"/>
      <c r="H48" s="99"/>
      <c r="I48" s="334">
        <f>SUM(I49:I51)</f>
        <v>156.55000000000001</v>
      </c>
      <c r="J48" s="334">
        <f>SUM(J49:J51)</f>
        <v>198</v>
      </c>
      <c r="K48" s="334">
        <f t="shared" ref="K48:Y48" si="21">SUM(K49:K51)</f>
        <v>156.55000000000001</v>
      </c>
      <c r="L48" s="334">
        <f t="shared" si="21"/>
        <v>161.55000000000001</v>
      </c>
      <c r="M48" s="334">
        <f t="shared" si="21"/>
        <v>163.55000000000001</v>
      </c>
      <c r="N48" s="334">
        <f t="shared" si="21"/>
        <v>198.55</v>
      </c>
      <c r="O48" s="334">
        <f t="shared" si="21"/>
        <v>193.55000000000004</v>
      </c>
      <c r="P48" s="334">
        <f t="shared" si="21"/>
        <v>188.55</v>
      </c>
      <c r="Q48" s="334">
        <f t="shared" si="21"/>
        <v>202.55</v>
      </c>
      <c r="R48" s="334">
        <f t="shared" si="21"/>
        <v>207.55</v>
      </c>
      <c r="S48" s="334">
        <f t="shared" si="21"/>
        <v>204.55</v>
      </c>
      <c r="T48" s="334">
        <f t="shared" si="21"/>
        <v>196.55000000000004</v>
      </c>
      <c r="U48" s="334">
        <f t="shared" si="21"/>
        <v>176.55000000000004</v>
      </c>
      <c r="V48" s="334">
        <f t="shared" si="21"/>
        <v>0</v>
      </c>
      <c r="W48" s="334">
        <f t="shared" si="21"/>
        <v>0</v>
      </c>
      <c r="X48" s="334">
        <f t="shared" si="21"/>
        <v>0</v>
      </c>
      <c r="Y48" s="334">
        <f t="shared" si="21"/>
        <v>0</v>
      </c>
      <c r="Z48" s="334">
        <f>SUM(Z49:Z51)</f>
        <v>0</v>
      </c>
      <c r="AA48" s="334">
        <f t="shared" ref="AA48:AR48" si="22">SUM(AA49:AA51)</f>
        <v>0</v>
      </c>
      <c r="AB48" s="334">
        <f t="shared" si="22"/>
        <v>0</v>
      </c>
      <c r="AC48" s="334">
        <f t="shared" si="22"/>
        <v>0</v>
      </c>
      <c r="AD48" s="334">
        <f t="shared" si="22"/>
        <v>0</v>
      </c>
      <c r="AE48" s="334">
        <f t="shared" si="22"/>
        <v>223</v>
      </c>
      <c r="AF48" s="334">
        <f>SUM(AF49:AF51)</f>
        <v>237</v>
      </c>
      <c r="AG48" s="334">
        <f t="shared" si="22"/>
        <v>246</v>
      </c>
      <c r="AH48" s="334">
        <f t="shared" si="22"/>
        <v>248</v>
      </c>
      <c r="AI48" s="334">
        <f t="shared" si="22"/>
        <v>234</v>
      </c>
      <c r="AJ48" s="334">
        <f t="shared" si="22"/>
        <v>256</v>
      </c>
      <c r="AK48" s="334">
        <f t="shared" si="22"/>
        <v>264</v>
      </c>
      <c r="AL48" s="334">
        <f t="shared" si="22"/>
        <v>240</v>
      </c>
      <c r="AM48" s="334">
        <f t="shared" si="22"/>
        <v>0</v>
      </c>
      <c r="AN48" s="334">
        <f t="shared" si="22"/>
        <v>0</v>
      </c>
      <c r="AO48" s="334">
        <f t="shared" si="22"/>
        <v>0</v>
      </c>
      <c r="AP48" s="334">
        <f t="shared" si="22"/>
        <v>0</v>
      </c>
      <c r="AQ48" s="334">
        <f>SUM(AQ49:AQ51)</f>
        <v>0</v>
      </c>
      <c r="AR48" s="334">
        <f t="shared" si="22"/>
        <v>0</v>
      </c>
      <c r="AS48" s="334"/>
      <c r="AT48" s="334"/>
      <c r="AU48" s="334"/>
      <c r="AV48" s="334"/>
      <c r="AW48" s="334"/>
    </row>
    <row r="49" spans="1:50" ht="12" x14ac:dyDescent="0.2">
      <c r="C49" s="102" t="s">
        <v>579</v>
      </c>
      <c r="G49" s="19" t="s">
        <v>580</v>
      </c>
      <c r="H49" t="s">
        <v>581</v>
      </c>
      <c r="I49" s="343">
        <f t="shared" ref="I49:AW49" si="23">I27*(1-I$44)</f>
        <v>154.08929581892488</v>
      </c>
      <c r="J49" s="343">
        <f t="shared" si="23"/>
        <v>198</v>
      </c>
      <c r="K49" s="343">
        <f t="shared" si="23"/>
        <v>156.55000000000001</v>
      </c>
      <c r="L49" s="343">
        <f t="shared" si="23"/>
        <v>156.55000000000001</v>
      </c>
      <c r="M49" s="343">
        <f t="shared" si="23"/>
        <v>156.55000000000001</v>
      </c>
      <c r="N49" s="343">
        <f t="shared" si="23"/>
        <v>112.59917587393589</v>
      </c>
      <c r="O49" s="343">
        <f t="shared" si="23"/>
        <v>111.78842464489948</v>
      </c>
      <c r="P49" s="343">
        <f t="shared" si="23"/>
        <v>110.94719977447849</v>
      </c>
      <c r="Q49" s="343">
        <f t="shared" si="23"/>
        <v>113.22693269059097</v>
      </c>
      <c r="R49" s="343">
        <f t="shared" si="23"/>
        <v>113.986853183652</v>
      </c>
      <c r="S49" s="343">
        <f t="shared" si="23"/>
        <v>113.53413401879099</v>
      </c>
      <c r="T49" s="343">
        <f t="shared" si="23"/>
        <v>112.2784254698048</v>
      </c>
      <c r="U49" s="343">
        <f t="shared" si="23"/>
        <v>108.79316079511909</v>
      </c>
      <c r="V49" s="343">
        <f t="shared" si="23"/>
        <v>0</v>
      </c>
      <c r="W49" s="343">
        <f t="shared" si="23"/>
        <v>0</v>
      </c>
      <c r="X49" s="343">
        <f t="shared" si="23"/>
        <v>0</v>
      </c>
      <c r="Y49" s="343">
        <f t="shared" si="23"/>
        <v>0</v>
      </c>
      <c r="Z49" s="343">
        <f t="shared" si="23"/>
        <v>0</v>
      </c>
      <c r="AA49" s="343">
        <f t="shared" si="23"/>
        <v>0</v>
      </c>
      <c r="AB49" s="343">
        <f t="shared" si="23"/>
        <v>0</v>
      </c>
      <c r="AC49" s="343">
        <f t="shared" si="23"/>
        <v>0</v>
      </c>
      <c r="AD49" s="343">
        <f t="shared" si="23"/>
        <v>0</v>
      </c>
      <c r="AE49" s="343">
        <f t="shared" si="23"/>
        <v>145.72277227722773</v>
      </c>
      <c r="AF49" s="343">
        <f>AF27*(1-AF$44)</f>
        <v>148.03154574132492</v>
      </c>
      <c r="AG49" s="343">
        <f t="shared" si="23"/>
        <v>149.41104294478527</v>
      </c>
      <c r="AH49" s="343">
        <f t="shared" si="23"/>
        <v>149.70731707317074</v>
      </c>
      <c r="AI49" s="343">
        <f t="shared" si="23"/>
        <v>147.55414012738854</v>
      </c>
      <c r="AJ49" s="343">
        <f t="shared" si="23"/>
        <v>150.85714285714286</v>
      </c>
      <c r="AK49" s="343">
        <f t="shared" si="23"/>
        <v>151.95348837209303</v>
      </c>
      <c r="AL49" s="343">
        <f t="shared" si="23"/>
        <v>148.5</v>
      </c>
      <c r="AM49" s="343">
        <f t="shared" si="23"/>
        <v>0</v>
      </c>
      <c r="AN49" s="343">
        <f t="shared" si="23"/>
        <v>0</v>
      </c>
      <c r="AO49" s="343">
        <f t="shared" si="23"/>
        <v>0</v>
      </c>
      <c r="AP49" s="343">
        <f t="shared" si="23"/>
        <v>0</v>
      </c>
      <c r="AQ49" s="343">
        <f t="shared" si="23"/>
        <v>0</v>
      </c>
      <c r="AR49" s="343">
        <f t="shared" si="23"/>
        <v>0</v>
      </c>
      <c r="AS49" s="343">
        <f t="shared" si="23"/>
        <v>0</v>
      </c>
      <c r="AT49" s="343">
        <f t="shared" si="23"/>
        <v>0</v>
      </c>
      <c r="AU49" s="343">
        <f t="shared" si="23"/>
        <v>0</v>
      </c>
      <c r="AV49" s="343">
        <f t="shared" si="23"/>
        <v>0</v>
      </c>
      <c r="AW49" s="343">
        <f t="shared" si="23"/>
        <v>0</v>
      </c>
      <c r="AX49" s="332" t="s">
        <v>582</v>
      </c>
    </row>
    <row r="50" spans="1:50" ht="12" x14ac:dyDescent="0.2">
      <c r="C50" s="102" t="s">
        <v>583</v>
      </c>
      <c r="G50" s="19" t="s">
        <v>580</v>
      </c>
      <c r="H50" t="s">
        <v>581</v>
      </c>
      <c r="I50" s="343">
        <f t="shared" ref="I50:AW50" si="24">I30*(1-I$44)</f>
        <v>0</v>
      </c>
      <c r="J50" s="343">
        <f t="shared" si="24"/>
        <v>0</v>
      </c>
      <c r="K50" s="343">
        <f t="shared" si="24"/>
        <v>0</v>
      </c>
      <c r="L50" s="343">
        <f t="shared" si="24"/>
        <v>5</v>
      </c>
      <c r="M50" s="343">
        <f t="shared" si="24"/>
        <v>7</v>
      </c>
      <c r="N50" s="343">
        <f t="shared" si="24"/>
        <v>30.208657851838435</v>
      </c>
      <c r="O50" s="343">
        <f t="shared" si="24"/>
        <v>26.420771075447337</v>
      </c>
      <c r="P50" s="343">
        <f t="shared" si="24"/>
        <v>22.678443901522272</v>
      </c>
      <c r="Q50" s="343">
        <f t="shared" si="24"/>
        <v>33.270130333868948</v>
      </c>
      <c r="R50" s="343">
        <f t="shared" si="24"/>
        <v>37.134011576916329</v>
      </c>
      <c r="S50" s="343">
        <f t="shared" si="24"/>
        <v>34.810849140223361</v>
      </c>
      <c r="T50" s="343">
        <f t="shared" si="24"/>
        <v>28.688195584747312</v>
      </c>
      <c r="U50" s="343">
        <f t="shared" si="24"/>
        <v>13.898838811257628</v>
      </c>
      <c r="V50" s="343">
        <f t="shared" si="24"/>
        <v>0</v>
      </c>
      <c r="W50" s="343">
        <f t="shared" si="24"/>
        <v>0</v>
      </c>
      <c r="X50" s="343">
        <f t="shared" si="24"/>
        <v>0</v>
      </c>
      <c r="Y50" s="343">
        <f t="shared" si="24"/>
        <v>0</v>
      </c>
      <c r="Z50" s="343">
        <f t="shared" si="24"/>
        <v>0</v>
      </c>
      <c r="AA50" s="343">
        <f t="shared" si="24"/>
        <v>0</v>
      </c>
      <c r="AB50" s="343">
        <f t="shared" si="24"/>
        <v>0</v>
      </c>
      <c r="AC50" s="343">
        <f t="shared" si="24"/>
        <v>0</v>
      </c>
      <c r="AD50" s="343">
        <f t="shared" si="24"/>
        <v>0</v>
      </c>
      <c r="AE50" s="343">
        <f t="shared" si="24"/>
        <v>18.399339933993399</v>
      </c>
      <c r="AF50" s="343">
        <f>AF30*(1-AF$44)</f>
        <v>29.157728706624606</v>
      </c>
      <c r="AG50" s="343">
        <f t="shared" si="24"/>
        <v>36.220858895705518</v>
      </c>
      <c r="AH50" s="343">
        <f t="shared" si="24"/>
        <v>37.804878048780488</v>
      </c>
      <c r="AI50" s="343">
        <f t="shared" si="24"/>
        <v>26.828025477707005</v>
      </c>
      <c r="AJ50" s="343">
        <f t="shared" si="24"/>
        <v>44.19047619047619</v>
      </c>
      <c r="AK50" s="343">
        <f t="shared" si="24"/>
        <v>50.651162790697676</v>
      </c>
      <c r="AL50" s="343">
        <f t="shared" si="24"/>
        <v>31.5</v>
      </c>
      <c r="AM50" s="343">
        <f t="shared" si="24"/>
        <v>0</v>
      </c>
      <c r="AN50" s="343">
        <f t="shared" si="24"/>
        <v>0</v>
      </c>
      <c r="AO50" s="343">
        <f t="shared" si="24"/>
        <v>0</v>
      </c>
      <c r="AP50" s="343">
        <f t="shared" si="24"/>
        <v>0</v>
      </c>
      <c r="AQ50" s="343">
        <f t="shared" si="24"/>
        <v>0</v>
      </c>
      <c r="AR50" s="343">
        <f t="shared" si="24"/>
        <v>0</v>
      </c>
      <c r="AS50" s="343">
        <f t="shared" si="24"/>
        <v>0</v>
      </c>
      <c r="AT50" s="343">
        <f t="shared" si="24"/>
        <v>0</v>
      </c>
      <c r="AU50" s="343">
        <f t="shared" si="24"/>
        <v>0</v>
      </c>
      <c r="AV50" s="343">
        <f t="shared" si="24"/>
        <v>0</v>
      </c>
      <c r="AW50" s="343">
        <f t="shared" si="24"/>
        <v>0</v>
      </c>
      <c r="AX50" s="332" t="s">
        <v>584</v>
      </c>
    </row>
    <row r="51" spans="1:50" ht="12" x14ac:dyDescent="0.2">
      <c r="C51" s="102" t="s">
        <v>585</v>
      </c>
      <c r="G51" s="19" t="s">
        <v>580</v>
      </c>
      <c r="H51" t="s">
        <v>581</v>
      </c>
      <c r="I51" s="343">
        <f>I34*(1-I$44)</f>
        <v>2.4607041810751338</v>
      </c>
      <c r="J51" s="343">
        <f t="shared" ref="J51:AW51" si="25">J34*(1-J$44)</f>
        <v>0</v>
      </c>
      <c r="K51" s="343">
        <f>K34*(1-K$44)</f>
        <v>0</v>
      </c>
      <c r="L51" s="343">
        <f t="shared" si="25"/>
        <v>0</v>
      </c>
      <c r="M51" s="343">
        <f t="shared" si="25"/>
        <v>0</v>
      </c>
      <c r="N51" s="343">
        <f t="shared" si="25"/>
        <v>55.742166274225681</v>
      </c>
      <c r="O51" s="343">
        <f t="shared" si="25"/>
        <v>55.340804279653206</v>
      </c>
      <c r="P51" s="343">
        <f t="shared" si="25"/>
        <v>54.924356323999248</v>
      </c>
      <c r="Q51" s="343">
        <f t="shared" si="25"/>
        <v>56.052936975540078</v>
      </c>
      <c r="R51" s="343">
        <f t="shared" si="25"/>
        <v>56.42913523943168</v>
      </c>
      <c r="S51" s="343">
        <f t="shared" si="25"/>
        <v>56.205016840985635</v>
      </c>
      <c r="T51" s="343">
        <f t="shared" si="25"/>
        <v>55.583378945447919</v>
      </c>
      <c r="U51" s="343">
        <f t="shared" si="25"/>
        <v>53.858000393623307</v>
      </c>
      <c r="V51" s="343">
        <f t="shared" si="25"/>
        <v>0</v>
      </c>
      <c r="W51" s="343">
        <f t="shared" si="25"/>
        <v>0</v>
      </c>
      <c r="X51" s="343">
        <f t="shared" si="25"/>
        <v>0</v>
      </c>
      <c r="Y51" s="343">
        <f t="shared" si="25"/>
        <v>0</v>
      </c>
      <c r="Z51" s="343">
        <f t="shared" si="25"/>
        <v>0</v>
      </c>
      <c r="AA51" s="343">
        <f t="shared" si="25"/>
        <v>0</v>
      </c>
      <c r="AB51" s="343">
        <f t="shared" si="25"/>
        <v>0</v>
      </c>
      <c r="AC51" s="343">
        <f t="shared" si="25"/>
        <v>0</v>
      </c>
      <c r="AD51" s="343">
        <f t="shared" si="25"/>
        <v>0</v>
      </c>
      <c r="AE51" s="343">
        <f t="shared" si="25"/>
        <v>58.877887788778878</v>
      </c>
      <c r="AF51" s="343">
        <f t="shared" si="25"/>
        <v>59.810725552050471</v>
      </c>
      <c r="AG51" s="343">
        <f t="shared" si="25"/>
        <v>60.368098159509202</v>
      </c>
      <c r="AH51" s="343">
        <f t="shared" si="25"/>
        <v>60.487804878048777</v>
      </c>
      <c r="AI51" s="343">
        <f t="shared" si="25"/>
        <v>59.617834394904456</v>
      </c>
      <c r="AJ51" s="343">
        <f t="shared" si="25"/>
        <v>60.952380952380949</v>
      </c>
      <c r="AK51" s="343">
        <f t="shared" si="25"/>
        <v>61.395348837209305</v>
      </c>
      <c r="AL51" s="343">
        <f t="shared" si="25"/>
        <v>60</v>
      </c>
      <c r="AM51" s="343">
        <f t="shared" si="25"/>
        <v>0</v>
      </c>
      <c r="AN51" s="343">
        <f t="shared" si="25"/>
        <v>0</v>
      </c>
      <c r="AO51" s="343">
        <f t="shared" si="25"/>
        <v>0</v>
      </c>
      <c r="AP51" s="343">
        <f t="shared" si="25"/>
        <v>0</v>
      </c>
      <c r="AQ51" s="343">
        <f t="shared" si="25"/>
        <v>0</v>
      </c>
      <c r="AR51" s="343">
        <f t="shared" si="25"/>
        <v>0</v>
      </c>
      <c r="AS51" s="343">
        <f t="shared" si="25"/>
        <v>0</v>
      </c>
      <c r="AT51" s="343">
        <f t="shared" si="25"/>
        <v>0</v>
      </c>
      <c r="AU51" s="343">
        <f t="shared" si="25"/>
        <v>0</v>
      </c>
      <c r="AV51" s="343">
        <f t="shared" si="25"/>
        <v>0</v>
      </c>
      <c r="AW51" s="343">
        <f t="shared" si="25"/>
        <v>0</v>
      </c>
      <c r="AX51" s="332" t="s">
        <v>586</v>
      </c>
    </row>
    <row r="52" spans="1:50" x14ac:dyDescent="0.2">
      <c r="C52" s="102"/>
      <c r="G52" s="19"/>
      <c r="I52" s="344"/>
      <c r="J52" s="344"/>
      <c r="K52" s="344"/>
      <c r="L52" s="344"/>
      <c r="M52" s="344"/>
      <c r="N52" s="344"/>
      <c r="O52" s="344"/>
      <c r="P52" s="344"/>
      <c r="Q52" s="344"/>
      <c r="R52" s="344"/>
      <c r="S52" s="344"/>
      <c r="T52" s="344"/>
      <c r="U52" s="344"/>
      <c r="V52" s="344"/>
      <c r="W52" s="344"/>
      <c r="X52" s="344"/>
      <c r="Y52" s="344"/>
      <c r="Z52" s="344"/>
      <c r="AA52" s="344"/>
      <c r="AB52" s="344"/>
      <c r="AC52" s="344"/>
      <c r="AD52" s="344"/>
      <c r="AE52" s="344"/>
      <c r="AF52" s="344"/>
      <c r="AG52" s="344"/>
      <c r="AH52" s="344"/>
      <c r="AI52" s="344"/>
      <c r="AJ52" s="344"/>
      <c r="AK52" s="344"/>
      <c r="AL52" s="344"/>
      <c r="AM52" s="344"/>
      <c r="AN52" s="344"/>
      <c r="AO52" s="344"/>
      <c r="AP52" s="344"/>
      <c r="AQ52" s="344"/>
      <c r="AR52" s="344"/>
      <c r="AS52" s="517"/>
      <c r="AT52" s="517"/>
      <c r="AU52" s="517"/>
      <c r="AV52" s="517"/>
      <c r="AW52" s="517"/>
    </row>
    <row r="53" spans="1:50" x14ac:dyDescent="0.2">
      <c r="AX53" s="345"/>
    </row>
    <row r="54" spans="1:50" ht="12" x14ac:dyDescent="0.2">
      <c r="A54" s="99">
        <v>3</v>
      </c>
      <c r="B54" s="99" t="s">
        <v>587</v>
      </c>
      <c r="C54" s="99"/>
      <c r="D54" s="76"/>
      <c r="E54" s="76"/>
      <c r="F54" s="76"/>
      <c r="G54" s="76"/>
      <c r="H54" s="76"/>
    </row>
    <row r="56" spans="1:50" x14ac:dyDescent="0.2">
      <c r="G56" s="19"/>
    </row>
    <row r="57" spans="1:50" ht="12" x14ac:dyDescent="0.2">
      <c r="C57" s="101" t="s">
        <v>589</v>
      </c>
      <c r="G57" s="19" t="s">
        <v>433</v>
      </c>
      <c r="H57" t="s">
        <v>64</v>
      </c>
      <c r="I57" s="348"/>
      <c r="J57" s="348"/>
      <c r="K57" s="334">
        <f t="shared" ref="K57:AN57" si="26">SUM(K58:K59)</f>
        <v>68</v>
      </c>
      <c r="L57" s="334">
        <f t="shared" si="26"/>
        <v>107</v>
      </c>
      <c r="M57" s="334">
        <f t="shared" si="26"/>
        <v>103</v>
      </c>
      <c r="N57" s="334">
        <f t="shared" si="26"/>
        <v>180.50862068965517</v>
      </c>
      <c r="O57" s="334">
        <f t="shared" si="26"/>
        <v>176.50862068965517</v>
      </c>
      <c r="P57" s="334">
        <f t="shared" si="26"/>
        <v>240.50862068965517</v>
      </c>
      <c r="Q57" s="334">
        <f t="shared" si="26"/>
        <v>350.50862068965517</v>
      </c>
      <c r="R57" s="334">
        <f t="shared" si="26"/>
        <v>377.50862068965517</v>
      </c>
      <c r="S57" s="334">
        <f t="shared" si="26"/>
        <v>496.50862068965517</v>
      </c>
      <c r="T57" s="334">
        <f t="shared" si="26"/>
        <v>489.50862068965517</v>
      </c>
      <c r="U57" s="334">
        <f t="shared" si="26"/>
        <v>1003.5086206896551</v>
      </c>
      <c r="V57" s="334">
        <f t="shared" si="26"/>
        <v>237</v>
      </c>
      <c r="W57" s="334">
        <f t="shared" si="26"/>
        <v>232</v>
      </c>
      <c r="X57" s="334">
        <f t="shared" si="26"/>
        <v>260.50862068965517</v>
      </c>
      <c r="Y57" s="334">
        <f t="shared" si="26"/>
        <v>438.50862068965517</v>
      </c>
      <c r="Z57" s="334">
        <f t="shared" si="26"/>
        <v>368.50862068965517</v>
      </c>
      <c r="AA57" s="334">
        <f t="shared" si="26"/>
        <v>549.50862068965512</v>
      </c>
      <c r="AB57" s="334">
        <f t="shared" si="26"/>
        <v>395.50862068965517</v>
      </c>
      <c r="AC57" s="334">
        <f t="shared" si="26"/>
        <v>421.50862068965517</v>
      </c>
      <c r="AD57" s="334">
        <f t="shared" si="26"/>
        <v>688.50862068965512</v>
      </c>
      <c r="AE57" s="334">
        <f t="shared" si="26"/>
        <v>118</v>
      </c>
      <c r="AF57" s="334">
        <f t="shared" si="26"/>
        <v>296</v>
      </c>
      <c r="AG57" s="334">
        <f t="shared" si="26"/>
        <v>367</v>
      </c>
      <c r="AH57" s="334">
        <f t="shared" si="26"/>
        <v>449</v>
      </c>
      <c r="AI57" s="334">
        <f t="shared" si="26"/>
        <v>524</v>
      </c>
      <c r="AJ57" s="334">
        <f t="shared" si="26"/>
        <v>782</v>
      </c>
      <c r="AK57" s="334">
        <f t="shared" si="26"/>
        <v>1205</v>
      </c>
      <c r="AL57" s="334">
        <f t="shared" si="26"/>
        <v>1920</v>
      </c>
      <c r="AM57" s="334">
        <f t="shared" si="26"/>
        <v>303</v>
      </c>
      <c r="AN57" s="334">
        <f t="shared" si="26"/>
        <v>342</v>
      </c>
      <c r="AO57" s="334">
        <f t="shared" ref="AO57:AW57" si="27">SUM(AO58:AO59)</f>
        <v>402</v>
      </c>
      <c r="AP57" s="334">
        <f t="shared" si="27"/>
        <v>482</v>
      </c>
      <c r="AQ57" s="334">
        <f t="shared" si="27"/>
        <v>422</v>
      </c>
      <c r="AR57" s="334">
        <f t="shared" si="27"/>
        <v>346</v>
      </c>
      <c r="AS57" s="334">
        <f t="shared" si="27"/>
        <v>597</v>
      </c>
      <c r="AT57" s="334">
        <f t="shared" si="27"/>
        <v>875</v>
      </c>
      <c r="AU57" s="334">
        <f t="shared" si="27"/>
        <v>324</v>
      </c>
      <c r="AV57" s="334">
        <f t="shared" si="27"/>
        <v>782</v>
      </c>
      <c r="AW57" s="334">
        <f t="shared" si="27"/>
        <v>911</v>
      </c>
    </row>
    <row r="58" spans="1:50" ht="12" x14ac:dyDescent="0.2">
      <c r="C58" t="s">
        <v>590</v>
      </c>
      <c r="G58" s="19" t="s">
        <v>433</v>
      </c>
      <c r="H58" s="101" t="s">
        <v>588</v>
      </c>
      <c r="I58" s="349"/>
      <c r="J58" s="349"/>
      <c r="K58" s="281">
        <f>IFERROR(VLOOKUP(K$3,Precios!$C$366:$Z$404,24,FALSE),0)</f>
        <v>68</v>
      </c>
      <c r="L58" s="281">
        <f>IFERROR(VLOOKUP(L$3,Precios!$C$366:$Z$404,24,FALSE),0)</f>
        <v>107</v>
      </c>
      <c r="M58" s="281">
        <f>IFERROR(VLOOKUP(M$3,Precios!$C$366:$Z$404,24,FALSE),0)</f>
        <v>103</v>
      </c>
      <c r="N58" s="281">
        <f>IFERROR(VLOOKUP(N$3,Precios!$C$366:$Z$404,24,FALSE),0)</f>
        <v>164</v>
      </c>
      <c r="O58" s="281">
        <f>IFERROR(VLOOKUP(O$3,Precios!$C$366:$Z$404,24,FALSE),0)</f>
        <v>160</v>
      </c>
      <c r="P58" s="281">
        <f>IFERROR(VLOOKUP(P$3,Precios!$C$366:$Z$404,24,FALSE),0)</f>
        <v>224</v>
      </c>
      <c r="Q58" s="281">
        <f>IFERROR(VLOOKUP(Q$3,Precios!$C$366:$Z$404,24,FALSE),0)</f>
        <v>334</v>
      </c>
      <c r="R58" s="281">
        <f>IFERROR(VLOOKUP(R$3,Precios!$C$366:$Z$404,24,FALSE),0)</f>
        <v>361</v>
      </c>
      <c r="S58" s="281">
        <f>IFERROR(VLOOKUP(S$3,Precios!$C$366:$Z$404,24,FALSE),0)</f>
        <v>480</v>
      </c>
      <c r="T58" s="281">
        <f>IFERROR(VLOOKUP(T$3,Precios!$C$366:$Z$404,24,FALSE),0)</f>
        <v>473</v>
      </c>
      <c r="U58" s="281">
        <f>IFERROR(VLOOKUP(U$3,Precios!$C$366:$Z$404,24,FALSE),0)</f>
        <v>987</v>
      </c>
      <c r="V58" s="281">
        <f>IFERROR(VLOOKUP(V$3,Precios!$C$366:$Z$404,24,FALSE),0)</f>
        <v>237</v>
      </c>
      <c r="W58" s="281">
        <f>IFERROR(VLOOKUP(W$3,Precios!$C$366:$Z$404,24,FALSE),0)</f>
        <v>232</v>
      </c>
      <c r="X58" s="281">
        <f>IFERROR(VLOOKUP(X$3,Precios!$C$366:$Z$404,24,FALSE),0)</f>
        <v>244</v>
      </c>
      <c r="Y58" s="281">
        <f>IFERROR(VLOOKUP(Y$3,Precios!$C$366:$Z$404,24,FALSE),0)</f>
        <v>422</v>
      </c>
      <c r="Z58" s="281">
        <f>IFERROR(VLOOKUP(Z$3,Precios!$C$366:$Z$404,24,FALSE),0)</f>
        <v>352</v>
      </c>
      <c r="AA58" s="281">
        <f>IFERROR(VLOOKUP(AA$3,Precios!$C$366:$Z$404,24,FALSE),0)</f>
        <v>533</v>
      </c>
      <c r="AB58" s="281">
        <f>IFERROR(VLOOKUP(AB$3,Precios!$C$366:$Z$404,24,FALSE),0)</f>
        <v>379</v>
      </c>
      <c r="AC58" s="281">
        <f>IFERROR(VLOOKUP(AC$3,Precios!$C$366:$Z$404,24,FALSE),0)</f>
        <v>405</v>
      </c>
      <c r="AD58" s="281">
        <f>IFERROR(VLOOKUP(AD$3,Precios!$C$366:$Z$404,24,FALSE),0)</f>
        <v>672</v>
      </c>
      <c r="AE58" s="281">
        <f>IFERROR(VLOOKUP(AE$3,Precios!$C$366:$Z$404,24,FALSE),0)</f>
        <v>118</v>
      </c>
      <c r="AF58" s="281">
        <f>IFERROR(VLOOKUP(AF$3,Precios!$C$366:$Z$404,24,FALSE),0)</f>
        <v>296</v>
      </c>
      <c r="AG58" s="281">
        <f>IFERROR(VLOOKUP(AG$3,Precios!$C$366:$Z$404,24,FALSE),0)</f>
        <v>367</v>
      </c>
      <c r="AH58" s="281">
        <f>IFERROR(VLOOKUP(AH$3,Precios!$C$366:$Z$404,24,FALSE),0)</f>
        <v>449</v>
      </c>
      <c r="AI58" s="281">
        <f>IFERROR(VLOOKUP(AI$3,Precios!$C$366:$Z$404,24,FALSE),0)</f>
        <v>524</v>
      </c>
      <c r="AJ58" s="281">
        <f>IFERROR(VLOOKUP(AJ$3,Precios!$C$366:$Z$404,24,FALSE),0)</f>
        <v>782</v>
      </c>
      <c r="AK58" s="281">
        <f>IFERROR(VLOOKUP(AK$3,Precios!$C$366:$Z$404,24,FALSE),0)</f>
        <v>1205</v>
      </c>
      <c r="AL58" s="281">
        <f>IFERROR(VLOOKUP(AL$3,Precios!$C$366:$Z$404,24,FALSE),0)</f>
        <v>1920</v>
      </c>
      <c r="AM58" s="281">
        <f>IFERROR(VLOOKUP(AM$3,Precios!$C$366:$Z$404,24,FALSE),0)</f>
        <v>303</v>
      </c>
      <c r="AN58" s="281">
        <f>IFERROR(VLOOKUP(AN$3,Precios!$C$366:$Z$404,24,FALSE),0)</f>
        <v>342</v>
      </c>
      <c r="AO58" s="281">
        <f>IFERROR(VLOOKUP(AO$3,Precios!$C$366:$Z$404,24,FALSE),0)</f>
        <v>402</v>
      </c>
      <c r="AP58" s="281">
        <f>IFERROR(VLOOKUP(AP$3,Precios!$C$366:$Z$404,24,FALSE),0)</f>
        <v>482</v>
      </c>
      <c r="AQ58" s="281">
        <f>IFERROR(VLOOKUP(AQ$3,Precios!$C$366:$Z$404,24,FALSE),0)</f>
        <v>422</v>
      </c>
      <c r="AR58" s="281">
        <f>IFERROR(VLOOKUP(AR$3,Precios!$C$366:$Z$404,24,FALSE),0)</f>
        <v>346</v>
      </c>
      <c r="AS58" s="281">
        <f>IFERROR(VLOOKUP(AS$3,Precios!$C$366:$Z$404,24,FALSE),0)</f>
        <v>597</v>
      </c>
      <c r="AT58" s="281">
        <f>IFERROR(VLOOKUP(AT$3,Precios!$C$366:$Z$404,24,FALSE),0)</f>
        <v>875</v>
      </c>
      <c r="AU58" s="281">
        <f>IFERROR(VLOOKUP(AU$3,Precios!$C$366:$Z$404,24,FALSE),0)</f>
        <v>324</v>
      </c>
      <c r="AV58" s="281">
        <f>IFERROR(VLOOKUP(AV$3,Precios!$C$366:$Z$404,24,FALSE),0)</f>
        <v>782</v>
      </c>
      <c r="AW58" s="281">
        <f>IFERROR(VLOOKUP(AW$3,Precios!$C$366:$Z$404,24,FALSE),0)</f>
        <v>911</v>
      </c>
      <c r="AX58" s="332" t="s">
        <v>591</v>
      </c>
    </row>
    <row r="59" spans="1:50" ht="12" x14ac:dyDescent="0.2">
      <c r="C59" t="s">
        <v>592</v>
      </c>
      <c r="G59" s="19" t="s">
        <v>433</v>
      </c>
      <c r="H59" t="s">
        <v>567</v>
      </c>
      <c r="I59" s="350"/>
      <c r="J59" s="350"/>
      <c r="K59" s="336">
        <f t="shared" ref="K59:AN59" si="28">IF(K63&gt;0,clarovideo.rental.without.taxes*K64/(years.client.retention*12),0)</f>
        <v>0</v>
      </c>
      <c r="L59" s="336">
        <f t="shared" si="28"/>
        <v>0</v>
      </c>
      <c r="M59" s="336">
        <f t="shared" si="28"/>
        <v>0</v>
      </c>
      <c r="N59" s="336">
        <f t="shared" si="28"/>
        <v>16.508620689655174</v>
      </c>
      <c r="O59" s="336">
        <f t="shared" si="28"/>
        <v>16.508620689655174</v>
      </c>
      <c r="P59" s="336">
        <f t="shared" si="28"/>
        <v>16.508620689655174</v>
      </c>
      <c r="Q59" s="336">
        <f t="shared" si="28"/>
        <v>16.508620689655174</v>
      </c>
      <c r="R59" s="336">
        <f t="shared" si="28"/>
        <v>16.508620689655174</v>
      </c>
      <c r="S59" s="336">
        <f t="shared" si="28"/>
        <v>16.508620689655174</v>
      </c>
      <c r="T59" s="336">
        <f t="shared" si="28"/>
        <v>16.508620689655174</v>
      </c>
      <c r="U59" s="336">
        <f t="shared" si="28"/>
        <v>16.508620689655174</v>
      </c>
      <c r="V59" s="336">
        <f t="shared" si="28"/>
        <v>0</v>
      </c>
      <c r="W59" s="336">
        <f t="shared" si="28"/>
        <v>0</v>
      </c>
      <c r="X59" s="336">
        <f t="shared" si="28"/>
        <v>16.508620689655174</v>
      </c>
      <c r="Y59" s="336">
        <f t="shared" si="28"/>
        <v>16.508620689655174</v>
      </c>
      <c r="Z59" s="336">
        <f t="shared" si="28"/>
        <v>16.508620689655174</v>
      </c>
      <c r="AA59" s="336">
        <f t="shared" si="28"/>
        <v>16.508620689655174</v>
      </c>
      <c r="AB59" s="336">
        <f t="shared" si="28"/>
        <v>16.508620689655174</v>
      </c>
      <c r="AC59" s="336">
        <f t="shared" si="28"/>
        <v>16.508620689655174</v>
      </c>
      <c r="AD59" s="336">
        <f t="shared" si="28"/>
        <v>16.508620689655174</v>
      </c>
      <c r="AE59" s="336">
        <f t="shared" si="28"/>
        <v>0</v>
      </c>
      <c r="AF59" s="336">
        <f t="shared" si="28"/>
        <v>0</v>
      </c>
      <c r="AG59" s="336">
        <f t="shared" si="28"/>
        <v>0</v>
      </c>
      <c r="AH59" s="336">
        <f t="shared" si="28"/>
        <v>0</v>
      </c>
      <c r="AI59" s="336">
        <f t="shared" si="28"/>
        <v>0</v>
      </c>
      <c r="AJ59" s="336">
        <f t="shared" si="28"/>
        <v>0</v>
      </c>
      <c r="AK59" s="336">
        <f t="shared" si="28"/>
        <v>0</v>
      </c>
      <c r="AL59" s="336">
        <f t="shared" si="28"/>
        <v>0</v>
      </c>
      <c r="AM59" s="336">
        <f t="shared" si="28"/>
        <v>0</v>
      </c>
      <c r="AN59" s="336">
        <f t="shared" si="28"/>
        <v>0</v>
      </c>
      <c r="AO59" s="336">
        <f t="shared" ref="AO59:AW59" si="29">IF(AO63&gt;0,clarovideo.rental.without.taxes*AO64/(years.client.retention*12),0)</f>
        <v>0</v>
      </c>
      <c r="AP59" s="336">
        <f t="shared" si="29"/>
        <v>0</v>
      </c>
      <c r="AQ59" s="336">
        <f t="shared" si="29"/>
        <v>0</v>
      </c>
      <c r="AR59" s="336">
        <f t="shared" si="29"/>
        <v>0</v>
      </c>
      <c r="AS59" s="336">
        <f t="shared" si="29"/>
        <v>0</v>
      </c>
      <c r="AT59" s="336">
        <f t="shared" si="29"/>
        <v>0</v>
      </c>
      <c r="AU59" s="336">
        <f t="shared" si="29"/>
        <v>0</v>
      </c>
      <c r="AV59" s="336">
        <f t="shared" si="29"/>
        <v>0</v>
      </c>
      <c r="AW59" s="336">
        <f t="shared" si="29"/>
        <v>0</v>
      </c>
    </row>
    <row r="60" spans="1:50" ht="12" x14ac:dyDescent="0.2">
      <c r="C60" s="351"/>
      <c r="G60" s="19"/>
      <c r="I60" s="352"/>
      <c r="J60" s="352"/>
      <c r="K60" s="352"/>
      <c r="L60" s="352"/>
      <c r="M60" s="352"/>
      <c r="N60" s="352"/>
      <c r="O60" s="352"/>
      <c r="P60" s="352"/>
      <c r="Q60" s="352"/>
      <c r="R60" s="352"/>
      <c r="S60" s="352"/>
      <c r="T60" s="352"/>
      <c r="U60" s="352"/>
      <c r="V60" s="352"/>
      <c r="W60" s="352"/>
      <c r="X60" s="352"/>
      <c r="Y60" s="352"/>
      <c r="Z60" s="352"/>
      <c r="AA60" s="352"/>
      <c r="AB60" s="352"/>
      <c r="AC60" s="352"/>
      <c r="AD60" s="352"/>
      <c r="AE60" s="352"/>
      <c r="AF60" s="352"/>
      <c r="AG60" s="352"/>
      <c r="AH60" s="352"/>
      <c r="AI60" s="352"/>
      <c r="AJ60" s="352"/>
      <c r="AK60" s="352"/>
      <c r="AL60" s="352"/>
      <c r="AM60" s="352"/>
      <c r="AN60" s="352"/>
      <c r="AO60" s="352"/>
      <c r="AP60" s="352"/>
      <c r="AQ60" s="352"/>
      <c r="AR60" s="352"/>
      <c r="AS60" s="518"/>
      <c r="AT60" s="518"/>
      <c r="AU60" s="518"/>
      <c r="AV60" s="518"/>
      <c r="AW60" s="518"/>
    </row>
    <row r="61" spans="1:50" x14ac:dyDescent="0.2">
      <c r="G61" s="19"/>
      <c r="X61" s="353"/>
      <c r="Y61" s="354"/>
      <c r="Z61" s="354"/>
      <c r="AA61" s="354"/>
    </row>
    <row r="62" spans="1:50" ht="12" x14ac:dyDescent="0.2">
      <c r="C62" s="101" t="s">
        <v>593</v>
      </c>
      <c r="G62" s="19"/>
      <c r="X62" s="103"/>
      <c r="Y62" s="353"/>
      <c r="Z62" s="353"/>
      <c r="AA62" s="353"/>
    </row>
    <row r="63" spans="1:50" ht="12" x14ac:dyDescent="0.2">
      <c r="C63" t="s">
        <v>594</v>
      </c>
      <c r="G63" s="273" t="s">
        <v>553</v>
      </c>
      <c r="H63" t="s">
        <v>567</v>
      </c>
      <c r="I63" s="346"/>
      <c r="J63" s="346"/>
      <c r="K63" s="355">
        <f t="shared" ref="K63:AW63" si="30">IF(K64&gt;0,1,0)</f>
        <v>0</v>
      </c>
      <c r="L63" s="355">
        <f t="shared" si="30"/>
        <v>0</v>
      </c>
      <c r="M63" s="355">
        <f t="shared" si="30"/>
        <v>0</v>
      </c>
      <c r="N63" s="355">
        <f t="shared" si="30"/>
        <v>1</v>
      </c>
      <c r="O63" s="355">
        <f t="shared" si="30"/>
        <v>1</v>
      </c>
      <c r="P63" s="355">
        <f t="shared" si="30"/>
        <v>1</v>
      </c>
      <c r="Q63" s="355">
        <f t="shared" si="30"/>
        <v>1</v>
      </c>
      <c r="R63" s="355">
        <f t="shared" si="30"/>
        <v>1</v>
      </c>
      <c r="S63" s="355">
        <f t="shared" si="30"/>
        <v>1</v>
      </c>
      <c r="T63" s="355">
        <f t="shared" si="30"/>
        <v>1</v>
      </c>
      <c r="U63" s="355">
        <f t="shared" si="30"/>
        <v>1</v>
      </c>
      <c r="V63" s="355">
        <f t="shared" si="30"/>
        <v>0</v>
      </c>
      <c r="W63" s="355">
        <f t="shared" si="30"/>
        <v>0</v>
      </c>
      <c r="X63" s="355">
        <f t="shared" si="30"/>
        <v>1</v>
      </c>
      <c r="Y63" s="355">
        <f t="shared" si="30"/>
        <v>1</v>
      </c>
      <c r="Z63" s="355">
        <f t="shared" si="30"/>
        <v>1</v>
      </c>
      <c r="AA63" s="355">
        <f t="shared" si="30"/>
        <v>1</v>
      </c>
      <c r="AB63" s="355">
        <f t="shared" si="30"/>
        <v>1</v>
      </c>
      <c r="AC63" s="355">
        <f t="shared" si="30"/>
        <v>1</v>
      </c>
      <c r="AD63" s="355">
        <f t="shared" si="30"/>
        <v>1</v>
      </c>
      <c r="AE63" s="355">
        <f t="shared" si="30"/>
        <v>0</v>
      </c>
      <c r="AF63" s="355">
        <f t="shared" si="30"/>
        <v>0</v>
      </c>
      <c r="AG63" s="355">
        <f t="shared" si="30"/>
        <v>0</v>
      </c>
      <c r="AH63" s="355">
        <f t="shared" si="30"/>
        <v>0</v>
      </c>
      <c r="AI63" s="355">
        <f t="shared" si="30"/>
        <v>0</v>
      </c>
      <c r="AJ63" s="355">
        <f t="shared" si="30"/>
        <v>0</v>
      </c>
      <c r="AK63" s="355">
        <f t="shared" si="30"/>
        <v>0</v>
      </c>
      <c r="AL63" s="355">
        <f t="shared" si="30"/>
        <v>0</v>
      </c>
      <c r="AM63" s="355">
        <f t="shared" si="30"/>
        <v>0</v>
      </c>
      <c r="AN63" s="355">
        <f t="shared" si="30"/>
        <v>0</v>
      </c>
      <c r="AO63" s="355">
        <f t="shared" si="30"/>
        <v>0</v>
      </c>
      <c r="AP63" s="355">
        <f t="shared" si="30"/>
        <v>0</v>
      </c>
      <c r="AQ63" s="355">
        <f t="shared" si="30"/>
        <v>0</v>
      </c>
      <c r="AR63" s="355">
        <f t="shared" si="30"/>
        <v>0</v>
      </c>
      <c r="AS63" s="355">
        <f t="shared" si="30"/>
        <v>0</v>
      </c>
      <c r="AT63" s="355">
        <f t="shared" si="30"/>
        <v>0</v>
      </c>
      <c r="AU63" s="355">
        <f t="shared" si="30"/>
        <v>0</v>
      </c>
      <c r="AV63" s="355">
        <f t="shared" si="30"/>
        <v>0</v>
      </c>
      <c r="AW63" s="355">
        <f t="shared" si="30"/>
        <v>0</v>
      </c>
    </row>
    <row r="64" spans="1:50" ht="12" x14ac:dyDescent="0.2">
      <c r="C64" t="s">
        <v>595</v>
      </c>
      <c r="G64" s="273" t="s">
        <v>549</v>
      </c>
      <c r="H64" s="323" t="s">
        <v>534</v>
      </c>
      <c r="I64" s="347"/>
      <c r="J64" s="347"/>
      <c r="K64" s="173">
        <f>IFERROR(MID(VLOOKUP(K$8,'Planes y paquetes'!$A$391:$BW$429,29,FALSE),1,FIND("m",VLOOKUP(K$8,'Planes y paquetes'!$A$391:$BW$429,29,FALSE),1)-1),0)</f>
        <v>0</v>
      </c>
      <c r="L64" s="173">
        <f>IFERROR(MID(VLOOKUP(L$8,'Planes y paquetes'!$A$391:$BW$429,29,FALSE),1,FIND("m",VLOOKUP(L$8,'Planes y paquetes'!$A$391:$BW$429,29,FALSE),1)-1),0)</f>
        <v>0</v>
      </c>
      <c r="M64" s="173">
        <f>IFERROR(MID(VLOOKUP(M$8,'Planes y paquetes'!$A$391:$BW$429,29,FALSE),1,FIND("m",VLOOKUP(M$8,'Planes y paquetes'!$A$391:$BW$429,29,FALSE),1)-1),0)</f>
        <v>0</v>
      </c>
      <c r="N64" s="173" t="str">
        <f>IFERROR(MID(VLOOKUP(N$8,'Planes y paquetes'!$A$391:$BW$429,29,FALSE),1,FIND("m",VLOOKUP(N$8,'Planes y paquetes'!$A$391:$BW$429,29,FALSE),1)-1),0)</f>
        <v xml:space="preserve">12 </v>
      </c>
      <c r="O64" s="173" t="str">
        <f>IFERROR(MID(VLOOKUP(O$8,'Planes y paquetes'!$A$391:$BW$429,29,FALSE),1,FIND("m",VLOOKUP(O$8,'Planes y paquetes'!$A$391:$BW$429,29,FALSE),1)-1),0)</f>
        <v xml:space="preserve">12 </v>
      </c>
      <c r="P64" s="173" t="str">
        <f>IFERROR(MID(VLOOKUP(P$8,'Planes y paquetes'!$A$391:$BW$429,29,FALSE),1,FIND("m",VLOOKUP(P$8,'Planes y paquetes'!$A$391:$BW$429,29,FALSE),1)-1),0)</f>
        <v xml:space="preserve">12 </v>
      </c>
      <c r="Q64" s="173" t="str">
        <f>IFERROR(MID(VLOOKUP(Q$8,'Planes y paquetes'!$A$391:$BW$429,29,FALSE),1,FIND("m",VLOOKUP(Q$8,'Planes y paquetes'!$A$391:$BW$429,29,FALSE),1)-1),0)</f>
        <v xml:space="preserve">12 </v>
      </c>
      <c r="R64" s="173" t="str">
        <f>IFERROR(MID(VLOOKUP(R$8,'Planes y paquetes'!$A$391:$BW$429,29,FALSE),1,FIND("m",VLOOKUP(R$8,'Planes y paquetes'!$A$391:$BW$429,29,FALSE),1)-1),0)</f>
        <v xml:space="preserve">12 </v>
      </c>
      <c r="S64" s="173" t="str">
        <f>IFERROR(MID(VLOOKUP(S$8,'Planes y paquetes'!$A$391:$BW$429,29,FALSE),1,FIND("m",VLOOKUP(S$8,'Planes y paquetes'!$A$391:$BW$429,29,FALSE),1)-1),0)</f>
        <v xml:space="preserve">12 </v>
      </c>
      <c r="T64" s="173" t="str">
        <f>IFERROR(MID(VLOOKUP(T$8,'Planes y paquetes'!$A$391:$BW$429,29,FALSE),1,FIND("m",VLOOKUP(T$8,'Planes y paquetes'!$A$391:$BW$429,29,FALSE),1)-1),0)</f>
        <v xml:space="preserve">12 </v>
      </c>
      <c r="U64" s="173" t="str">
        <f>IFERROR(MID(VLOOKUP(U$8,'Planes y paquetes'!$A$391:$BW$429,29,FALSE),1,FIND("m",VLOOKUP(U$8,'Planes y paquetes'!$A$391:$BW$429,29,FALSE),1)-1),0)</f>
        <v xml:space="preserve">12 </v>
      </c>
      <c r="V64" s="173">
        <f>IFERROR(MID(VLOOKUP(V$8,'Planes y paquetes'!$A$391:$BW$429,29,FALSE),1,FIND("m",VLOOKUP(V$8,'Planes y paquetes'!$A$391:$BW$429,29,FALSE),1)-1),0)</f>
        <v>0</v>
      </c>
      <c r="W64" s="173">
        <f>IFERROR(MID(VLOOKUP(W$8,'Planes y paquetes'!$A$391:$BW$429,29,FALSE),1,FIND("m",VLOOKUP(W$8,'Planes y paquetes'!$A$391:$BW$429,29,FALSE),1)-1),0)</f>
        <v>0</v>
      </c>
      <c r="X64" s="173" t="str">
        <f>IFERROR(MID(VLOOKUP(X$8,'Planes y paquetes'!$A$391:$BW$429,29,FALSE),1,FIND("m",VLOOKUP(X$8,'Planes y paquetes'!$A$391:$BW$429,29,FALSE),1)-1),0)</f>
        <v xml:space="preserve">12 </v>
      </c>
      <c r="Y64" s="173" t="str">
        <f>IFERROR(MID(VLOOKUP(Y$8,'Planes y paquetes'!$A$391:$BW$429,29,FALSE),1,FIND("m",VLOOKUP(Y$8,'Planes y paquetes'!$A$391:$BW$429,29,FALSE),1)-1),0)</f>
        <v xml:space="preserve">12 </v>
      </c>
      <c r="Z64" s="173" t="str">
        <f>IFERROR(MID(VLOOKUP(Z$8,'Planes y paquetes'!$A$391:$BW$429,29,FALSE),1,FIND("m",VLOOKUP(Z$8,'Planes y paquetes'!$A$391:$BW$429,29,FALSE),1)-1),0)</f>
        <v xml:space="preserve">12 </v>
      </c>
      <c r="AA64" s="173" t="str">
        <f>IFERROR(MID(VLOOKUP(AA$8,'Planes y paquetes'!$A$391:$BW$429,29,FALSE),1,FIND("m",VLOOKUP(AA$8,'Planes y paquetes'!$A$391:$BW$429,29,FALSE),1)-1),0)</f>
        <v xml:space="preserve">12 </v>
      </c>
      <c r="AB64" s="173" t="str">
        <f>IFERROR(MID(VLOOKUP(AB$8,'Planes y paquetes'!$A$391:$BW$429,29,FALSE),1,FIND("m",VLOOKUP(AB$8,'Planes y paquetes'!$A$391:$BW$429,29,FALSE),1)-1),0)</f>
        <v xml:space="preserve">12 </v>
      </c>
      <c r="AC64" s="173" t="str">
        <f>IFERROR(MID(VLOOKUP(AC$8,'Planes y paquetes'!$A$391:$BW$429,29,FALSE),1,FIND("m",VLOOKUP(AC$8,'Planes y paquetes'!$A$391:$BW$429,29,FALSE),1)-1),0)</f>
        <v xml:space="preserve">12 </v>
      </c>
      <c r="AD64" s="173" t="str">
        <f>IFERROR(MID(VLOOKUP(AD$8,'Planes y paquetes'!$A$391:$BW$429,29,FALSE),1,FIND("m",VLOOKUP(AD$8,'Planes y paquetes'!$A$391:$BW$429,29,FALSE),1)-1),0)</f>
        <v xml:space="preserve">12 </v>
      </c>
      <c r="AE64" s="173">
        <f>IFERROR(MID(VLOOKUP(AE$8,'Planes y paquetes'!$A$391:$BW$429,29,FALSE),1,FIND("m",VLOOKUP(AE$8,'Planes y paquetes'!$A$391:$BW$429,29,FALSE),1)-1),0)</f>
        <v>0</v>
      </c>
      <c r="AF64" s="173">
        <f>IFERROR(MID(VLOOKUP(AF$8,'Planes y paquetes'!$A$391:$BW$429,29,FALSE),1,FIND("m",VLOOKUP(AF$8,'Planes y paquetes'!$A$391:$BW$429,29,FALSE),1)-1),0)</f>
        <v>0</v>
      </c>
      <c r="AG64" s="173">
        <f>IFERROR(MID(VLOOKUP(AG$8,'Planes y paquetes'!$A$391:$BW$429,29,FALSE),1,FIND("m",VLOOKUP(AG$8,'Planes y paquetes'!$A$391:$BW$429,29,FALSE),1)-1),0)</f>
        <v>0</v>
      </c>
      <c r="AH64" s="173">
        <f>IFERROR(MID(VLOOKUP(AH$8,'Planes y paquetes'!$A$391:$BW$429,29,FALSE),1,FIND("m",VLOOKUP(AH$8,'Planes y paquetes'!$A$391:$BW$429,29,FALSE),1)-1),0)</f>
        <v>0</v>
      </c>
      <c r="AI64" s="173">
        <f>IFERROR(MID(VLOOKUP(AI$8,'Planes y paquetes'!$A$391:$BW$429,29,FALSE),1,FIND("m",VLOOKUP(AI$8,'Planes y paquetes'!$A$391:$BW$429,29,FALSE),1)-1),0)</f>
        <v>0</v>
      </c>
      <c r="AJ64" s="173">
        <f>IFERROR(MID(VLOOKUP(AJ$8,'Planes y paquetes'!$A$391:$BW$429,29,FALSE),1,FIND("m",VLOOKUP(AJ$8,'Planes y paquetes'!$A$391:$BW$429,29,FALSE),1)-1),0)</f>
        <v>0</v>
      </c>
      <c r="AK64" s="173">
        <f>IFERROR(MID(VLOOKUP(AK$8,'Planes y paquetes'!$A$391:$BW$429,29,FALSE),1,FIND("m",VLOOKUP(AK$8,'Planes y paquetes'!$A$391:$BW$429,29,FALSE),1)-1),0)</f>
        <v>0</v>
      </c>
      <c r="AL64" s="173">
        <f>IFERROR(MID(VLOOKUP(AL$8,'Planes y paquetes'!$A$391:$BW$429,29,FALSE),1,FIND("m",VLOOKUP(AL$8,'Planes y paquetes'!$A$391:$BW$429,29,FALSE),1)-1),0)</f>
        <v>0</v>
      </c>
      <c r="AM64" s="173">
        <f>IFERROR(MID(VLOOKUP(AM$8,'Planes y paquetes'!$A$391:$BW$429,29,FALSE),1,FIND("m",VLOOKUP(AM$8,'Planes y paquetes'!$A$391:$BW$429,29,FALSE),1)-1),0)</f>
        <v>0</v>
      </c>
      <c r="AN64" s="173">
        <f>IFERROR(MID(VLOOKUP(AN$8,'Planes y paquetes'!$A$391:$BW$429,29,FALSE),1,FIND("m",VLOOKUP(AN$8,'Planes y paquetes'!$A$391:$BW$429,29,FALSE),1)-1),0)</f>
        <v>0</v>
      </c>
      <c r="AO64" s="173">
        <f>IFERROR(MID(VLOOKUP(AO$8,'Planes y paquetes'!$A$391:$BW$429,29,FALSE),1,FIND("m",VLOOKUP(AO$8,'Planes y paquetes'!$A$391:$BW$429,29,FALSE),1)-1),0)</f>
        <v>0</v>
      </c>
      <c r="AP64" s="173">
        <f>IFERROR(MID(VLOOKUP(AP$8,'Planes y paquetes'!$A$391:$BW$429,29,FALSE),1,FIND("m",VLOOKUP(AP$8,'Planes y paquetes'!$A$391:$BW$429,29,FALSE),1)-1),0)</f>
        <v>0</v>
      </c>
      <c r="AQ64" s="173">
        <f>IFERROR(MID(VLOOKUP(AQ$8,'Planes y paquetes'!$A$391:$BW$429,29,FALSE),1,FIND("m",VLOOKUP(AQ$8,'Planes y paquetes'!$A$391:$BW$429,29,FALSE),1)-1),0)</f>
        <v>0</v>
      </c>
      <c r="AR64" s="173">
        <f>IFERROR(MID(VLOOKUP(AR$8,'Planes y paquetes'!$A$391:$BW$429,29,FALSE),1,FIND("m",VLOOKUP(AR$8,'Planes y paquetes'!$A$391:$BW$429,29,FALSE),1)-1),0)</f>
        <v>0</v>
      </c>
      <c r="AS64" s="173">
        <f>IFERROR(MID(VLOOKUP(AS$8,'Planes y paquetes'!$A$391:$BW$429,29,FALSE),1,FIND("m",VLOOKUP(AS$8,'Planes y paquetes'!$A$391:$BW$429,29,FALSE),1)-1),0)</f>
        <v>0</v>
      </c>
      <c r="AT64" s="173">
        <f>IFERROR(MID(VLOOKUP(AT$8,'Planes y paquetes'!$A$391:$BW$429,29,FALSE),1,FIND("m",VLOOKUP(AT$8,'Planes y paquetes'!$A$391:$BW$429,29,FALSE),1)-1),0)</f>
        <v>0</v>
      </c>
      <c r="AU64" s="173">
        <f>IFERROR(MID(VLOOKUP(AU$8,'Planes y paquetes'!$A$391:$BW$429,29,FALSE),1,FIND("m",VLOOKUP(AU$8,'Planes y paquetes'!$A$391:$BW$429,29,FALSE),1)-1),0)</f>
        <v>0</v>
      </c>
      <c r="AV64" s="173">
        <f>IFERROR(MID(VLOOKUP(AV$8,'Planes y paquetes'!$A$391:$BW$429,29,FALSE),1,FIND("m",VLOOKUP(AV$8,'Planes y paquetes'!$A$391:$BW$429,29,FALSE),1)-1),0)</f>
        <v>0</v>
      </c>
      <c r="AW64" s="173">
        <f>IFERROR(MID(VLOOKUP(AW$8,'Planes y paquetes'!$A$391:$BW$429,29,FALSE),1,FIND("m",VLOOKUP(AW$8,'Planes y paquetes'!$A$391:$BW$429,29,FALSE),1)-1),0)</f>
        <v>0</v>
      </c>
    </row>
    <row r="65" spans="1:54" x14ac:dyDescent="0.2">
      <c r="G65" s="19"/>
      <c r="H65" s="323"/>
      <c r="I65" s="323"/>
      <c r="J65" s="323"/>
      <c r="K65" s="323"/>
      <c r="L65" s="323"/>
      <c r="M65" s="323"/>
      <c r="N65" s="323"/>
      <c r="O65" s="323"/>
      <c r="P65" s="323"/>
      <c r="Q65" s="323"/>
      <c r="R65" s="323"/>
      <c r="S65" s="323"/>
      <c r="T65" s="323"/>
      <c r="U65" s="323"/>
      <c r="V65" s="323"/>
      <c r="W65" s="323"/>
      <c r="X65" s="323"/>
      <c r="Y65" s="356"/>
      <c r="Z65" s="356"/>
      <c r="AA65" s="356"/>
      <c r="AB65" s="323"/>
      <c r="AC65" s="323"/>
      <c r="AD65" s="323"/>
      <c r="AE65" s="323"/>
      <c r="AF65" s="323"/>
      <c r="AG65" s="323"/>
      <c r="AH65" s="323"/>
      <c r="AI65" s="323"/>
      <c r="AJ65" s="323"/>
      <c r="AK65" s="323"/>
      <c r="AL65" s="323"/>
      <c r="AM65" s="323"/>
      <c r="AN65" s="323"/>
      <c r="AO65" s="323"/>
      <c r="AP65" s="323"/>
      <c r="AQ65" s="323"/>
      <c r="AR65" s="323"/>
      <c r="AS65" s="323"/>
      <c r="AT65" s="323"/>
      <c r="AU65" s="323"/>
      <c r="AV65" s="323"/>
      <c r="AW65" s="323"/>
      <c r="AX65" s="323"/>
    </row>
    <row r="66" spans="1:54" ht="12" x14ac:dyDescent="0.2">
      <c r="G66" s="19"/>
      <c r="H66" s="342">
        <f>SUMPRODUCT(K67:AW67,vector.distribution.users.broadband)</f>
        <v>6.4162781923086581E-2</v>
      </c>
    </row>
    <row r="67" spans="1:54" x14ac:dyDescent="0.2">
      <c r="C67" t="s">
        <v>596</v>
      </c>
      <c r="G67" s="19" t="s">
        <v>223</v>
      </c>
      <c r="I67" s="357"/>
      <c r="J67" s="357"/>
      <c r="K67" s="358">
        <f t="shared" ref="K67:AW67" si="31">IFERROR(1-K58/SUM(K58:K59),0)</f>
        <v>0</v>
      </c>
      <c r="L67" s="358">
        <f t="shared" si="31"/>
        <v>0</v>
      </c>
      <c r="M67" s="358">
        <f t="shared" si="31"/>
        <v>0</v>
      </c>
      <c r="N67" s="358">
        <f t="shared" si="31"/>
        <v>9.145613448588763E-2</v>
      </c>
      <c r="O67" s="358">
        <f t="shared" si="31"/>
        <v>9.3528693528693529E-2</v>
      </c>
      <c r="P67" s="358">
        <f t="shared" si="31"/>
        <v>6.8640453062833839E-2</v>
      </c>
      <c r="Q67" s="358">
        <f t="shared" si="31"/>
        <v>4.7099043262254336E-2</v>
      </c>
      <c r="R67" s="358">
        <f t="shared" si="31"/>
        <v>4.3730446895480779E-2</v>
      </c>
      <c r="S67" s="358">
        <f t="shared" si="31"/>
        <v>3.324941401163295E-2</v>
      </c>
      <c r="T67" s="358">
        <f t="shared" si="31"/>
        <v>3.372488244721128E-2</v>
      </c>
      <c r="U67" s="358">
        <f t="shared" si="31"/>
        <v>1.6450900719028883E-2</v>
      </c>
      <c r="V67" s="358">
        <f t="shared" si="31"/>
        <v>0</v>
      </c>
      <c r="W67" s="358">
        <f t="shared" si="31"/>
        <v>0</v>
      </c>
      <c r="X67" s="358">
        <f t="shared" si="31"/>
        <v>6.3370727026043183E-2</v>
      </c>
      <c r="Y67" s="358">
        <f t="shared" si="31"/>
        <v>3.7647197593724813E-2</v>
      </c>
      <c r="Z67" s="358">
        <f t="shared" si="31"/>
        <v>4.4798465389384035E-2</v>
      </c>
      <c r="AA67" s="358">
        <f t="shared" si="31"/>
        <v>3.0042514472177206E-2</v>
      </c>
      <c r="AB67" s="358">
        <f t="shared" si="31"/>
        <v>4.1740229734737011E-2</v>
      </c>
      <c r="AC67" s="358">
        <f t="shared" si="31"/>
        <v>3.9165558850598248E-2</v>
      </c>
      <c r="AD67" s="358">
        <f t="shared" si="31"/>
        <v>2.3977362364931643E-2</v>
      </c>
      <c r="AE67" s="358">
        <f t="shared" si="31"/>
        <v>0</v>
      </c>
      <c r="AF67" s="358">
        <f t="shared" si="31"/>
        <v>0</v>
      </c>
      <c r="AG67" s="358">
        <f t="shared" si="31"/>
        <v>0</v>
      </c>
      <c r="AH67" s="358">
        <f t="shared" si="31"/>
        <v>0</v>
      </c>
      <c r="AI67" s="358">
        <f t="shared" si="31"/>
        <v>0</v>
      </c>
      <c r="AJ67" s="358">
        <f t="shared" si="31"/>
        <v>0</v>
      </c>
      <c r="AK67" s="358">
        <f t="shared" si="31"/>
        <v>0</v>
      </c>
      <c r="AL67" s="358">
        <f t="shared" si="31"/>
        <v>0</v>
      </c>
      <c r="AM67" s="358">
        <f t="shared" si="31"/>
        <v>0</v>
      </c>
      <c r="AN67" s="358">
        <f t="shared" si="31"/>
        <v>0</v>
      </c>
      <c r="AO67" s="358">
        <f t="shared" si="31"/>
        <v>0</v>
      </c>
      <c r="AP67" s="358">
        <f t="shared" si="31"/>
        <v>0</v>
      </c>
      <c r="AQ67" s="358">
        <f t="shared" si="31"/>
        <v>0</v>
      </c>
      <c r="AR67" s="358">
        <f t="shared" si="31"/>
        <v>0</v>
      </c>
      <c r="AS67" s="358">
        <f t="shared" si="31"/>
        <v>0</v>
      </c>
      <c r="AT67" s="358">
        <f t="shared" si="31"/>
        <v>0</v>
      </c>
      <c r="AU67" s="358">
        <f t="shared" si="31"/>
        <v>0</v>
      </c>
      <c r="AV67" s="358">
        <f t="shared" si="31"/>
        <v>0</v>
      </c>
      <c r="AW67" s="358">
        <f t="shared" si="31"/>
        <v>0</v>
      </c>
    </row>
    <row r="68" spans="1:54" x14ac:dyDescent="0.2">
      <c r="G68" s="19"/>
    </row>
    <row r="69" spans="1:54" ht="12" x14ac:dyDescent="0.2">
      <c r="C69" s="101" t="s">
        <v>597</v>
      </c>
      <c r="G69" s="19" t="s">
        <v>433</v>
      </c>
      <c r="H69" t="s">
        <v>64</v>
      </c>
      <c r="I69" s="348"/>
      <c r="J69" s="348"/>
      <c r="K69" s="334">
        <f t="shared" ref="K69:AW69" si="32">K70+K72</f>
        <v>68</v>
      </c>
      <c r="L69" s="334">
        <f t="shared" si="32"/>
        <v>107</v>
      </c>
      <c r="M69" s="334">
        <f t="shared" si="32"/>
        <v>103</v>
      </c>
      <c r="N69" s="334">
        <f t="shared" si="32"/>
        <v>164</v>
      </c>
      <c r="O69" s="334">
        <f t="shared" si="32"/>
        <v>160</v>
      </c>
      <c r="P69" s="334">
        <f t="shared" si="32"/>
        <v>224</v>
      </c>
      <c r="Q69" s="334">
        <f t="shared" si="32"/>
        <v>334.00000000000006</v>
      </c>
      <c r="R69" s="334">
        <f t="shared" si="32"/>
        <v>361.00000000000006</v>
      </c>
      <c r="S69" s="334">
        <f t="shared" si="32"/>
        <v>480</v>
      </c>
      <c r="T69" s="334">
        <f t="shared" si="32"/>
        <v>473.00000000000006</v>
      </c>
      <c r="U69" s="334">
        <f t="shared" si="32"/>
        <v>987</v>
      </c>
      <c r="V69" s="334">
        <f t="shared" si="32"/>
        <v>237</v>
      </c>
      <c r="W69" s="334">
        <f t="shared" si="32"/>
        <v>232</v>
      </c>
      <c r="X69" s="334">
        <f t="shared" si="32"/>
        <v>244</v>
      </c>
      <c r="Y69" s="334">
        <f t="shared" si="32"/>
        <v>422</v>
      </c>
      <c r="Z69" s="334">
        <f t="shared" si="32"/>
        <v>352</v>
      </c>
      <c r="AA69" s="334">
        <f t="shared" si="32"/>
        <v>533.00000000000011</v>
      </c>
      <c r="AB69" s="334">
        <f t="shared" si="32"/>
        <v>379</v>
      </c>
      <c r="AC69" s="334">
        <f t="shared" si="32"/>
        <v>405</v>
      </c>
      <c r="AD69" s="334">
        <f t="shared" si="32"/>
        <v>672</v>
      </c>
      <c r="AE69" s="334">
        <f t="shared" si="32"/>
        <v>118</v>
      </c>
      <c r="AF69" s="334">
        <f t="shared" si="32"/>
        <v>296</v>
      </c>
      <c r="AG69" s="334">
        <f t="shared" si="32"/>
        <v>367</v>
      </c>
      <c r="AH69" s="334">
        <f t="shared" si="32"/>
        <v>449</v>
      </c>
      <c r="AI69" s="334">
        <f t="shared" si="32"/>
        <v>524</v>
      </c>
      <c r="AJ69" s="334">
        <f t="shared" si="32"/>
        <v>782</v>
      </c>
      <c r="AK69" s="334">
        <f t="shared" si="32"/>
        <v>1205</v>
      </c>
      <c r="AL69" s="334">
        <f t="shared" si="32"/>
        <v>1920</v>
      </c>
      <c r="AM69" s="334">
        <f t="shared" si="32"/>
        <v>303</v>
      </c>
      <c r="AN69" s="334">
        <f t="shared" si="32"/>
        <v>342</v>
      </c>
      <c r="AO69" s="334">
        <f t="shared" si="32"/>
        <v>402</v>
      </c>
      <c r="AP69" s="334">
        <f t="shared" si="32"/>
        <v>482</v>
      </c>
      <c r="AQ69" s="334">
        <f t="shared" si="32"/>
        <v>422</v>
      </c>
      <c r="AR69" s="334">
        <f t="shared" si="32"/>
        <v>346</v>
      </c>
      <c r="AS69" s="334">
        <f t="shared" si="32"/>
        <v>597</v>
      </c>
      <c r="AT69" s="334">
        <f t="shared" si="32"/>
        <v>875</v>
      </c>
      <c r="AU69" s="334">
        <f t="shared" si="32"/>
        <v>324</v>
      </c>
      <c r="AV69" s="334">
        <f t="shared" si="32"/>
        <v>782</v>
      </c>
      <c r="AW69" s="334">
        <f t="shared" si="32"/>
        <v>911</v>
      </c>
    </row>
    <row r="70" spans="1:54" x14ac:dyDescent="0.2">
      <c r="C70" t="s">
        <v>598</v>
      </c>
      <c r="G70" s="19" t="s">
        <v>433</v>
      </c>
      <c r="I70" s="349"/>
      <c r="J70" s="349"/>
      <c r="K70" s="281">
        <f t="shared" ref="K70:AW70" si="33">IF($BA$70="Banda ancha",K$71,"")</f>
        <v>68</v>
      </c>
      <c r="L70" s="281">
        <f t="shared" si="33"/>
        <v>107</v>
      </c>
      <c r="M70" s="281">
        <f t="shared" si="33"/>
        <v>103</v>
      </c>
      <c r="N70" s="281">
        <f t="shared" si="33"/>
        <v>149.00119394431442</v>
      </c>
      <c r="O70" s="281">
        <f t="shared" si="33"/>
        <v>145.03540903540903</v>
      </c>
      <c r="P70" s="281">
        <f t="shared" si="33"/>
        <v>208.62453851392522</v>
      </c>
      <c r="Q70" s="281">
        <f t="shared" si="33"/>
        <v>318.26891955040708</v>
      </c>
      <c r="R70" s="281">
        <f t="shared" si="33"/>
        <v>345.21330867073146</v>
      </c>
      <c r="S70" s="281">
        <f t="shared" si="33"/>
        <v>464.0402812744162</v>
      </c>
      <c r="T70" s="281">
        <f t="shared" si="33"/>
        <v>457.04813060246909</v>
      </c>
      <c r="U70" s="281">
        <f t="shared" si="33"/>
        <v>970.76296099031845</v>
      </c>
      <c r="V70" s="281">
        <f t="shared" si="33"/>
        <v>237</v>
      </c>
      <c r="W70" s="281">
        <f t="shared" si="33"/>
        <v>232</v>
      </c>
      <c r="X70" s="281">
        <f t="shared" si="33"/>
        <v>228.53754260564546</v>
      </c>
      <c r="Y70" s="281">
        <f t="shared" si="33"/>
        <v>406.11288261544814</v>
      </c>
      <c r="Z70" s="281">
        <f t="shared" si="33"/>
        <v>336.23094018293682</v>
      </c>
      <c r="AA70" s="281">
        <f t="shared" si="33"/>
        <v>516.98733978632958</v>
      </c>
      <c r="AB70" s="281">
        <f t="shared" si="33"/>
        <v>363.18045293053467</v>
      </c>
      <c r="AC70" s="281">
        <f t="shared" si="33"/>
        <v>389.13794866550774</v>
      </c>
      <c r="AD70" s="281">
        <f t="shared" si="33"/>
        <v>655.88721249076593</v>
      </c>
      <c r="AE70" s="281">
        <f t="shared" si="33"/>
        <v>118</v>
      </c>
      <c r="AF70" s="281">
        <f t="shared" si="33"/>
        <v>296</v>
      </c>
      <c r="AG70" s="281">
        <f t="shared" si="33"/>
        <v>367</v>
      </c>
      <c r="AH70" s="281">
        <f t="shared" si="33"/>
        <v>449</v>
      </c>
      <c r="AI70" s="281">
        <f t="shared" si="33"/>
        <v>524</v>
      </c>
      <c r="AJ70" s="281">
        <f t="shared" si="33"/>
        <v>782</v>
      </c>
      <c r="AK70" s="281">
        <f t="shared" si="33"/>
        <v>1205</v>
      </c>
      <c r="AL70" s="281">
        <f t="shared" si="33"/>
        <v>1920</v>
      </c>
      <c r="AM70" s="281">
        <f t="shared" si="33"/>
        <v>303</v>
      </c>
      <c r="AN70" s="281">
        <f t="shared" si="33"/>
        <v>342</v>
      </c>
      <c r="AO70" s="281">
        <f t="shared" si="33"/>
        <v>402</v>
      </c>
      <c r="AP70" s="281">
        <f t="shared" si="33"/>
        <v>482</v>
      </c>
      <c r="AQ70" s="281">
        <f t="shared" si="33"/>
        <v>422</v>
      </c>
      <c r="AR70" s="281">
        <f t="shared" si="33"/>
        <v>346</v>
      </c>
      <c r="AS70" s="281">
        <f t="shared" si="33"/>
        <v>597</v>
      </c>
      <c r="AT70" s="281">
        <f t="shared" si="33"/>
        <v>875</v>
      </c>
      <c r="AU70" s="281">
        <f t="shared" si="33"/>
        <v>324</v>
      </c>
      <c r="AV70" s="281">
        <f t="shared" si="33"/>
        <v>782</v>
      </c>
      <c r="AW70" s="281">
        <f t="shared" si="33"/>
        <v>911</v>
      </c>
      <c r="AX70" s="332" t="s">
        <v>599</v>
      </c>
      <c r="BA70" s="89" t="s">
        <v>175</v>
      </c>
      <c r="BB70" t="s">
        <v>600</v>
      </c>
    </row>
    <row r="71" spans="1:54" x14ac:dyDescent="0.2">
      <c r="C71" t="s">
        <v>601</v>
      </c>
      <c r="G71" s="19"/>
      <c r="I71" s="359"/>
      <c r="J71" s="359"/>
      <c r="K71" s="360">
        <f t="shared" ref="K71:AW71" si="34">K58*(1-K$67)</f>
        <v>68</v>
      </c>
      <c r="L71" s="360">
        <f t="shared" si="34"/>
        <v>107</v>
      </c>
      <c r="M71" s="360">
        <f t="shared" si="34"/>
        <v>103</v>
      </c>
      <c r="N71" s="360">
        <f t="shared" si="34"/>
        <v>149.00119394431442</v>
      </c>
      <c r="O71" s="360">
        <f t="shared" si="34"/>
        <v>145.03540903540903</v>
      </c>
      <c r="P71" s="360">
        <f t="shared" si="34"/>
        <v>208.62453851392522</v>
      </c>
      <c r="Q71" s="360">
        <f t="shared" si="34"/>
        <v>318.26891955040708</v>
      </c>
      <c r="R71" s="360">
        <f t="shared" si="34"/>
        <v>345.21330867073146</v>
      </c>
      <c r="S71" s="360">
        <f t="shared" si="34"/>
        <v>464.0402812744162</v>
      </c>
      <c r="T71" s="360">
        <f t="shared" si="34"/>
        <v>457.04813060246909</v>
      </c>
      <c r="U71" s="360">
        <f t="shared" si="34"/>
        <v>970.76296099031845</v>
      </c>
      <c r="V71" s="360">
        <f t="shared" si="34"/>
        <v>237</v>
      </c>
      <c r="W71" s="360">
        <f t="shared" si="34"/>
        <v>232</v>
      </c>
      <c r="X71" s="360">
        <f t="shared" si="34"/>
        <v>228.53754260564546</v>
      </c>
      <c r="Y71" s="360">
        <f t="shared" si="34"/>
        <v>406.11288261544814</v>
      </c>
      <c r="Z71" s="360">
        <f t="shared" si="34"/>
        <v>336.23094018293682</v>
      </c>
      <c r="AA71" s="360">
        <f t="shared" si="34"/>
        <v>516.98733978632958</v>
      </c>
      <c r="AB71" s="360">
        <f t="shared" si="34"/>
        <v>363.18045293053467</v>
      </c>
      <c r="AC71" s="360">
        <f t="shared" si="34"/>
        <v>389.13794866550774</v>
      </c>
      <c r="AD71" s="360">
        <f t="shared" si="34"/>
        <v>655.88721249076593</v>
      </c>
      <c r="AE71" s="360">
        <f t="shared" si="34"/>
        <v>118</v>
      </c>
      <c r="AF71" s="360">
        <f t="shared" si="34"/>
        <v>296</v>
      </c>
      <c r="AG71" s="360">
        <f t="shared" si="34"/>
        <v>367</v>
      </c>
      <c r="AH71" s="360">
        <f t="shared" si="34"/>
        <v>449</v>
      </c>
      <c r="AI71" s="360">
        <f t="shared" si="34"/>
        <v>524</v>
      </c>
      <c r="AJ71" s="360">
        <f t="shared" si="34"/>
        <v>782</v>
      </c>
      <c r="AK71" s="360">
        <f t="shared" si="34"/>
        <v>1205</v>
      </c>
      <c r="AL71" s="360">
        <f t="shared" si="34"/>
        <v>1920</v>
      </c>
      <c r="AM71" s="360">
        <f t="shared" si="34"/>
        <v>303</v>
      </c>
      <c r="AN71" s="360">
        <f t="shared" si="34"/>
        <v>342</v>
      </c>
      <c r="AO71" s="360">
        <f t="shared" si="34"/>
        <v>402</v>
      </c>
      <c r="AP71" s="360">
        <f t="shared" si="34"/>
        <v>482</v>
      </c>
      <c r="AQ71" s="360">
        <f t="shared" si="34"/>
        <v>422</v>
      </c>
      <c r="AR71" s="360">
        <f t="shared" si="34"/>
        <v>346</v>
      </c>
      <c r="AS71" s="360">
        <f t="shared" si="34"/>
        <v>597</v>
      </c>
      <c r="AT71" s="360">
        <f t="shared" si="34"/>
        <v>875</v>
      </c>
      <c r="AU71" s="360">
        <f t="shared" si="34"/>
        <v>324</v>
      </c>
      <c r="AV71" s="360">
        <f t="shared" si="34"/>
        <v>782</v>
      </c>
      <c r="AW71" s="360">
        <f t="shared" si="34"/>
        <v>911</v>
      </c>
      <c r="AX71" s="332"/>
    </row>
    <row r="72" spans="1:54" x14ac:dyDescent="0.2">
      <c r="C72" s="103" t="s">
        <v>602</v>
      </c>
      <c r="D72" s="103"/>
      <c r="E72" s="103"/>
      <c r="F72" s="103"/>
      <c r="G72" s="354" t="s">
        <v>433</v>
      </c>
      <c r="I72" s="350"/>
      <c r="J72" s="350"/>
      <c r="K72" s="336">
        <f t="shared" ref="K72:AW72" si="35">K59*(1-K$67)</f>
        <v>0</v>
      </c>
      <c r="L72" s="336">
        <f t="shared" si="35"/>
        <v>0</v>
      </c>
      <c r="M72" s="336">
        <f t="shared" si="35"/>
        <v>0</v>
      </c>
      <c r="N72" s="336">
        <f t="shared" si="35"/>
        <v>14.998806055685563</v>
      </c>
      <c r="O72" s="336">
        <f t="shared" si="35"/>
        <v>14.964590964590966</v>
      </c>
      <c r="P72" s="336">
        <f t="shared" si="35"/>
        <v>15.375461486074771</v>
      </c>
      <c r="Q72" s="336">
        <f t="shared" si="35"/>
        <v>15.731080449592959</v>
      </c>
      <c r="R72" s="336">
        <f t="shared" si="35"/>
        <v>15.786691329268573</v>
      </c>
      <c r="S72" s="336">
        <f t="shared" si="35"/>
        <v>15.959718725583819</v>
      </c>
      <c r="T72" s="336">
        <f t="shared" si="35"/>
        <v>15.951869397530954</v>
      </c>
      <c r="U72" s="336">
        <f t="shared" si="35"/>
        <v>16.237039009681553</v>
      </c>
      <c r="V72" s="336">
        <f t="shared" si="35"/>
        <v>0</v>
      </c>
      <c r="W72" s="336">
        <f t="shared" si="35"/>
        <v>0</v>
      </c>
      <c r="X72" s="336">
        <f t="shared" si="35"/>
        <v>15.462457394354548</v>
      </c>
      <c r="Y72" s="336">
        <f t="shared" si="35"/>
        <v>15.887117384551873</v>
      </c>
      <c r="Z72" s="336">
        <f t="shared" si="35"/>
        <v>15.769059817063187</v>
      </c>
      <c r="AA72" s="336">
        <f t="shared" si="35"/>
        <v>16.012660213670525</v>
      </c>
      <c r="AB72" s="336">
        <f t="shared" si="35"/>
        <v>15.819547069465335</v>
      </c>
      <c r="AC72" s="336">
        <f t="shared" si="35"/>
        <v>15.86205133449228</v>
      </c>
      <c r="AD72" s="336">
        <f t="shared" si="35"/>
        <v>16.112787509234103</v>
      </c>
      <c r="AE72" s="336">
        <f t="shared" si="35"/>
        <v>0</v>
      </c>
      <c r="AF72" s="336">
        <f t="shared" si="35"/>
        <v>0</v>
      </c>
      <c r="AG72" s="336">
        <f t="shared" si="35"/>
        <v>0</v>
      </c>
      <c r="AH72" s="336">
        <f t="shared" si="35"/>
        <v>0</v>
      </c>
      <c r="AI72" s="336">
        <f t="shared" si="35"/>
        <v>0</v>
      </c>
      <c r="AJ72" s="336">
        <f t="shared" si="35"/>
        <v>0</v>
      </c>
      <c r="AK72" s="336">
        <f t="shared" si="35"/>
        <v>0</v>
      </c>
      <c r="AL72" s="336">
        <f t="shared" si="35"/>
        <v>0</v>
      </c>
      <c r="AM72" s="336">
        <f t="shared" si="35"/>
        <v>0</v>
      </c>
      <c r="AN72" s="336">
        <f t="shared" si="35"/>
        <v>0</v>
      </c>
      <c r="AO72" s="336">
        <f t="shared" si="35"/>
        <v>0</v>
      </c>
      <c r="AP72" s="336">
        <f t="shared" si="35"/>
        <v>0</v>
      </c>
      <c r="AQ72" s="336">
        <f t="shared" si="35"/>
        <v>0</v>
      </c>
      <c r="AR72" s="336">
        <f t="shared" si="35"/>
        <v>0</v>
      </c>
      <c r="AS72" s="336">
        <f t="shared" si="35"/>
        <v>0</v>
      </c>
      <c r="AT72" s="336">
        <f t="shared" si="35"/>
        <v>0</v>
      </c>
      <c r="AU72" s="336">
        <f t="shared" si="35"/>
        <v>0</v>
      </c>
      <c r="AV72" s="336">
        <f t="shared" si="35"/>
        <v>0</v>
      </c>
      <c r="AW72" s="336">
        <f t="shared" si="35"/>
        <v>0</v>
      </c>
    </row>
    <row r="75" spans="1:54" x14ac:dyDescent="0.2">
      <c r="G75" s="19"/>
    </row>
    <row r="76" spans="1:54" ht="12" x14ac:dyDescent="0.2">
      <c r="A76" s="99" t="s">
        <v>358</v>
      </c>
      <c r="B76" s="99" t="s">
        <v>292</v>
      </c>
      <c r="C76" s="76"/>
      <c r="D76" s="76"/>
      <c r="E76" s="76"/>
      <c r="F76" s="76"/>
      <c r="G76" s="76"/>
      <c r="H76" s="76"/>
      <c r="I76" s="76"/>
      <c r="J76" s="76"/>
      <c r="K76" s="76"/>
      <c r="L76" s="76"/>
      <c r="M76" s="76"/>
      <c r="N76" s="76"/>
      <c r="O76" s="76"/>
      <c r="P76" s="76"/>
      <c r="Q76" s="76"/>
      <c r="R76" s="76"/>
      <c r="S76" s="76"/>
      <c r="T76" s="76"/>
      <c r="U76" s="76"/>
      <c r="V76" s="76"/>
      <c r="W76" s="76"/>
      <c r="X76" s="76"/>
      <c r="Y76" s="76"/>
      <c r="Z76" s="76"/>
      <c r="AA76" s="76"/>
      <c r="AB76" s="76"/>
      <c r="AC76" s="76"/>
      <c r="AD76" s="76"/>
      <c r="AE76" s="76"/>
      <c r="AF76" s="76"/>
      <c r="AG76" s="76"/>
      <c r="AH76" s="76"/>
      <c r="AI76" s="76"/>
      <c r="AJ76" s="76"/>
      <c r="AK76" s="76"/>
      <c r="AL76" s="76"/>
      <c r="AM76" s="76"/>
      <c r="AN76" s="76"/>
      <c r="AO76" s="76"/>
      <c r="AP76" s="76"/>
      <c r="AQ76" s="76"/>
      <c r="AR76" s="76"/>
      <c r="AS76" s="76"/>
      <c r="AT76" s="76"/>
      <c r="AU76" s="76"/>
      <c r="AV76" s="76"/>
      <c r="AW76" s="76"/>
    </row>
  </sheetData>
  <pageMargins left="0.7" right="0.7" top="0.75" bottom="0.75" header="0.3" footer="0.3"/>
  <pageSetup orientation="portrait" r:id="rId1"/>
  <ignoredErrors>
    <ignoredError sqref="K71:AR71 K67:AQ67 K63:AR63 K56:AR57 K72:AR72 K73:AR73 K26:AR28 I38:AR40 I44:AR44 K49:AR51 I49:J51 I8:AR21 I6:AR6 I5:AW5 I7:AW7 AS6:AW6 AS19:AW21 AS13:AW13 AS10:AW10 K59:AR59" unlockedFormula="1"/>
  </ignoredErrors>
  <legacy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B285910E-C469-45CB-B0D1-D7FDEAE21250}">
          <x14:formula1>
            <xm:f>Listas!$V$6:$V$8</xm:f>
          </x14:formula1>
          <xm:sqref>BA70</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B2114D-4DF0-4C36-AF53-60EB2969EDD8}">
  <sheetPr codeName="Hoja9"/>
  <dimension ref="A1:BC106"/>
  <sheetViews>
    <sheetView showGridLines="0" zoomScale="91" zoomScaleNormal="145" workbookViewId="0">
      <pane xSplit="9" ySplit="2" topLeftCell="J3" activePane="bottomRight" state="frozen"/>
      <selection activeCell="H120" sqref="H120"/>
      <selection pane="topRight" activeCell="H120" sqref="H120"/>
      <selection pane="bottomLeft" activeCell="H120" sqref="H120"/>
      <selection pane="bottomRight" activeCell="J48" sqref="J48"/>
    </sheetView>
  </sheetViews>
  <sheetFormatPr baseColWidth="10" defaultRowHeight="11.4" x14ac:dyDescent="0.2"/>
  <cols>
    <col min="1" max="2" width="6.875" customWidth="1"/>
    <col min="3" max="3" width="4.875" customWidth="1"/>
    <col min="4" max="4" width="26.125" customWidth="1"/>
    <col min="5" max="5" width="23" customWidth="1"/>
    <col min="6" max="6" width="10.875" customWidth="1"/>
    <col min="7" max="7" width="5.875" customWidth="1"/>
    <col min="8" max="8" width="10.625" customWidth="1"/>
    <col min="9" max="9" width="8.125" customWidth="1"/>
    <col min="10" max="10" width="25.875" customWidth="1"/>
    <col min="11" max="11" width="23.125" customWidth="1"/>
    <col min="12" max="12" width="24" customWidth="1"/>
    <col min="13" max="13" width="25.875" customWidth="1"/>
    <col min="14" max="14" width="20.875" bestFit="1" customWidth="1"/>
    <col min="16" max="16" width="11.375" customWidth="1"/>
    <col min="17" max="17" width="14.875" customWidth="1"/>
    <col min="19" max="19" width="14.375" customWidth="1"/>
  </cols>
  <sheetData>
    <row r="1" spans="1:55" s="87" customFormat="1" ht="33.75" customHeight="1" x14ac:dyDescent="0.2">
      <c r="C1" s="87" t="s">
        <v>603</v>
      </c>
    </row>
    <row r="2" spans="1:55" ht="12" x14ac:dyDescent="0.2">
      <c r="C2" s="73"/>
      <c r="D2" s="73" t="s">
        <v>212</v>
      </c>
      <c r="E2" s="43"/>
      <c r="F2" s="43"/>
      <c r="G2" s="43"/>
      <c r="H2" s="43" t="s">
        <v>213</v>
      </c>
      <c r="I2" s="43"/>
      <c r="J2" s="43" t="s">
        <v>604</v>
      </c>
      <c r="K2" s="43"/>
      <c r="L2" s="43"/>
      <c r="M2" s="43" t="s">
        <v>605</v>
      </c>
      <c r="N2" s="43"/>
      <c r="O2" s="43"/>
      <c r="P2" s="43" t="s">
        <v>215</v>
      </c>
      <c r="Q2" s="43"/>
      <c r="R2" s="43"/>
      <c r="S2" s="43"/>
      <c r="T2" s="43"/>
      <c r="U2" s="43"/>
      <c r="V2" s="43"/>
      <c r="W2" s="43"/>
      <c r="X2" s="43"/>
      <c r="Y2" s="43"/>
      <c r="Z2" s="43"/>
      <c r="AA2" s="43"/>
      <c r="AB2" s="43"/>
      <c r="AC2" s="43"/>
      <c r="AD2" s="43"/>
      <c r="AE2" s="43"/>
    </row>
    <row r="3" spans="1:55" ht="12" x14ac:dyDescent="0.2">
      <c r="A3" s="99">
        <v>1</v>
      </c>
      <c r="B3" s="99" t="s">
        <v>606</v>
      </c>
      <c r="C3" s="76"/>
      <c r="D3" s="76"/>
      <c r="E3" s="76"/>
      <c r="F3" s="76"/>
      <c r="G3" s="76"/>
      <c r="H3" s="76"/>
      <c r="I3" s="76"/>
      <c r="J3" s="76"/>
      <c r="K3" s="76"/>
      <c r="L3" s="76"/>
      <c r="M3" s="76"/>
      <c r="N3" s="76"/>
      <c r="O3" s="76"/>
      <c r="P3" s="76"/>
      <c r="Q3" s="76"/>
      <c r="R3" s="76"/>
      <c r="S3" s="76"/>
      <c r="T3" s="76"/>
      <c r="U3" s="76"/>
      <c r="V3" s="76"/>
      <c r="W3" s="76"/>
      <c r="X3" s="76"/>
      <c r="Y3" s="76"/>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row>
    <row r="5" spans="1:55" ht="12" x14ac:dyDescent="0.2">
      <c r="B5" s="99">
        <v>1.1000000000000001</v>
      </c>
      <c r="C5" s="99" t="s">
        <v>607</v>
      </c>
      <c r="D5" s="99"/>
      <c r="E5" s="99"/>
      <c r="F5" s="99"/>
      <c r="G5" s="99"/>
      <c r="H5" s="76"/>
      <c r="I5" s="76"/>
      <c r="J5" s="76"/>
      <c r="K5" s="76"/>
      <c r="L5" s="76"/>
      <c r="M5" s="76"/>
      <c r="N5" s="76"/>
      <c r="O5" s="76"/>
      <c r="P5" s="76"/>
      <c r="Q5" s="76"/>
      <c r="R5" s="76"/>
      <c r="S5" s="76"/>
      <c r="T5" s="76"/>
      <c r="U5" s="76"/>
      <c r="V5" s="76"/>
      <c r="W5" s="76"/>
      <c r="X5" s="76"/>
      <c r="Y5" s="76"/>
      <c r="Z5" s="76"/>
      <c r="AA5" s="76"/>
      <c r="AB5" s="76"/>
      <c r="AC5" s="76"/>
      <c r="AD5" s="76"/>
      <c r="AE5" s="76"/>
      <c r="AF5" s="76"/>
      <c r="AG5" s="76"/>
      <c r="AH5" s="76"/>
      <c r="AI5" s="76"/>
      <c r="AJ5" s="76"/>
      <c r="AK5" s="76"/>
      <c r="AL5" s="76"/>
      <c r="AM5" s="76"/>
      <c r="AN5" s="76"/>
      <c r="AO5" s="76"/>
      <c r="AP5" s="76"/>
      <c r="AQ5" s="76"/>
      <c r="AR5" s="76"/>
      <c r="AS5" s="76"/>
      <c r="AT5" s="76"/>
      <c r="AU5" s="76"/>
      <c r="AV5" s="76"/>
      <c r="AW5" s="76"/>
      <c r="AX5" s="76"/>
      <c r="AY5" s="76"/>
      <c r="AZ5" s="76"/>
      <c r="BA5" s="76"/>
      <c r="BB5" s="76"/>
      <c r="BC5" s="76"/>
    </row>
    <row r="7" spans="1:55" ht="12" x14ac:dyDescent="0.2">
      <c r="C7" s="101" t="s">
        <v>608</v>
      </c>
    </row>
    <row r="8" spans="1:55" x14ac:dyDescent="0.2">
      <c r="D8" t="str">
        <f>"Número de líneas en "&amp;Year.selected-1</f>
        <v>Número de líneas en 2024</v>
      </c>
      <c r="H8" s="19" t="s">
        <v>330</v>
      </c>
      <c r="J8" s="361">
        <f>INDEX(AEP.telephone.lines,MATCH(Year.selected-1,Years,0))</f>
        <v>10115240</v>
      </c>
      <c r="M8" s="361">
        <f>J8</f>
        <v>10115240</v>
      </c>
    </row>
    <row r="9" spans="1:55" x14ac:dyDescent="0.2">
      <c r="D9" t="str">
        <f>"Número de líneas en "&amp;Year.selected</f>
        <v>Número de líneas en 2025</v>
      </c>
      <c r="H9" s="19" t="s">
        <v>330</v>
      </c>
      <c r="J9" s="361">
        <f>INDEX(AEP.telephone.lines,MATCH(Year.selected,Years,0))</f>
        <v>10170846</v>
      </c>
      <c r="M9" s="361">
        <f>J9</f>
        <v>10170846</v>
      </c>
    </row>
    <row r="10" spans="1:55" x14ac:dyDescent="0.2">
      <c r="D10" t="s">
        <v>609</v>
      </c>
      <c r="H10" s="19" t="s">
        <v>330</v>
      </c>
      <c r="J10" s="362">
        <f>J9-J8</f>
        <v>55606</v>
      </c>
      <c r="M10" s="362">
        <f>J10</f>
        <v>55606</v>
      </c>
    </row>
    <row r="12" spans="1:55" x14ac:dyDescent="0.2">
      <c r="D12" t="s">
        <v>222</v>
      </c>
      <c r="H12" s="19" t="s">
        <v>223</v>
      </c>
      <c r="J12" s="363">
        <f>Line.rental.churn</f>
        <v>1.3326666666666671E-2</v>
      </c>
      <c r="M12" s="363">
        <f>J12</f>
        <v>1.3326666666666671E-2</v>
      </c>
    </row>
    <row r="14" spans="1:55" x14ac:dyDescent="0.2">
      <c r="D14" t="s">
        <v>610</v>
      </c>
      <c r="H14" s="19" t="s">
        <v>330</v>
      </c>
      <c r="J14" s="362">
        <f>J8*J12+J10</f>
        <v>190408.43173333336</v>
      </c>
      <c r="M14" s="362">
        <f>J14</f>
        <v>190408.43173333336</v>
      </c>
    </row>
    <row r="16" spans="1:55" ht="12" x14ac:dyDescent="0.2">
      <c r="C16" s="101" t="s">
        <v>611</v>
      </c>
    </row>
    <row r="17" spans="3:13" x14ac:dyDescent="0.2">
      <c r="D17" t="str">
        <f>"Número de líneas en "&amp;Year.selected-1</f>
        <v>Número de líneas en 2024</v>
      </c>
      <c r="H17" s="19" t="s">
        <v>330</v>
      </c>
      <c r="J17" s="362">
        <f>INDEX(AEP.telephone.lines.voice.only.residential,MATCH(Year.selected-1,Years,0))</f>
        <v>1653253.7441313963</v>
      </c>
      <c r="M17" s="361">
        <f>J17</f>
        <v>1653253.7441313963</v>
      </c>
    </row>
    <row r="18" spans="3:13" x14ac:dyDescent="0.2">
      <c r="D18" t="str">
        <f>"Número de líneas en "&amp;Year.selected</f>
        <v>Número de líneas en 2025</v>
      </c>
      <c r="H18" s="19" t="s">
        <v>330</v>
      </c>
      <c r="J18" s="362">
        <f>INDEX(AEP.telephone.lines.voice.only.residential,MATCH(Year.selected,Years,0))</f>
        <v>1932926.2883898607</v>
      </c>
      <c r="M18" s="361">
        <f>J18</f>
        <v>1932926.2883898607</v>
      </c>
    </row>
    <row r="19" spans="3:13" x14ac:dyDescent="0.2">
      <c r="D19" t="s">
        <v>609</v>
      </c>
      <c r="H19" s="19" t="s">
        <v>330</v>
      </c>
      <c r="J19" s="364">
        <f>J18-J17</f>
        <v>279672.54425846436</v>
      </c>
      <c r="M19" s="361">
        <f>J19</f>
        <v>279672.54425846436</v>
      </c>
    </row>
    <row r="21" spans="3:13" x14ac:dyDescent="0.2">
      <c r="D21" t="s">
        <v>222</v>
      </c>
      <c r="H21" s="19" t="s">
        <v>223</v>
      </c>
      <c r="J21" s="363">
        <f>Line.rental.churn</f>
        <v>1.3326666666666671E-2</v>
      </c>
      <c r="M21" s="363">
        <f>J21</f>
        <v>1.3326666666666671E-2</v>
      </c>
    </row>
    <row r="23" spans="3:13" x14ac:dyDescent="0.2">
      <c r="D23" t="s">
        <v>610</v>
      </c>
      <c r="H23" s="19" t="s">
        <v>330</v>
      </c>
      <c r="J23" s="364">
        <f>J17*J21+J19</f>
        <v>301704.90582192212</v>
      </c>
      <c r="M23" s="361">
        <f>J23</f>
        <v>301704.90582192212</v>
      </c>
    </row>
    <row r="25" spans="3:13" ht="12" x14ac:dyDescent="0.2">
      <c r="C25" s="101" t="s">
        <v>612</v>
      </c>
    </row>
    <row r="26" spans="3:13" x14ac:dyDescent="0.2">
      <c r="D26" t="str">
        <f>"Número de líneas en "&amp;Year.selected-1</f>
        <v>Número de líneas en 2024</v>
      </c>
      <c r="H26" s="19" t="s">
        <v>330</v>
      </c>
      <c r="J26" s="362">
        <f>INDEX(AEP.telephone.lines.voice.only.noresidential,MATCH(Year.selected-1,Years,0))</f>
        <v>718154.11101769772</v>
      </c>
      <c r="M26" s="361">
        <f>J26</f>
        <v>718154.11101769772</v>
      </c>
    </row>
    <row r="27" spans="3:13" x14ac:dyDescent="0.2">
      <c r="D27" t="str">
        <f>"Número de líneas en "&amp;Year.selected</f>
        <v>Número de líneas en 2025</v>
      </c>
      <c r="H27" s="19" t="s">
        <v>330</v>
      </c>
      <c r="J27" s="362">
        <f>INDEX(AEP.telephone.lines.voice.only.noresidential,MATCH(Year.selected,Years,0))</f>
        <v>523358.45269257948</v>
      </c>
      <c r="M27" s="361">
        <f>J27</f>
        <v>523358.45269257948</v>
      </c>
    </row>
    <row r="28" spans="3:13" x14ac:dyDescent="0.2">
      <c r="D28" t="s">
        <v>609</v>
      </c>
      <c r="H28" s="19" t="s">
        <v>330</v>
      </c>
      <c r="J28" s="364">
        <f>J27-J26</f>
        <v>-194795.65832511825</v>
      </c>
      <c r="M28" s="361">
        <f>J28</f>
        <v>-194795.65832511825</v>
      </c>
    </row>
    <row r="30" spans="3:13" x14ac:dyDescent="0.2">
      <c r="D30" t="s">
        <v>222</v>
      </c>
      <c r="H30" s="19" t="s">
        <v>223</v>
      </c>
      <c r="J30" s="363">
        <f>Line.rental.churn</f>
        <v>1.3326666666666671E-2</v>
      </c>
      <c r="M30" s="363">
        <f>J30</f>
        <v>1.3326666666666671E-2</v>
      </c>
    </row>
    <row r="32" spans="3:13" x14ac:dyDescent="0.2">
      <c r="D32" t="s">
        <v>610</v>
      </c>
      <c r="H32" s="19" t="s">
        <v>330</v>
      </c>
      <c r="J32" s="364">
        <f>J26*J30+J28</f>
        <v>-185225.05787228906</v>
      </c>
      <c r="M32" s="361">
        <f>J32</f>
        <v>-185225.05787228906</v>
      </c>
    </row>
    <row r="34" spans="2:55" ht="12" x14ac:dyDescent="0.2">
      <c r="C34" s="101" t="s">
        <v>613</v>
      </c>
    </row>
    <row r="35" spans="2:55" x14ac:dyDescent="0.2">
      <c r="D35" t="s">
        <v>318</v>
      </c>
      <c r="H35" s="19" t="s">
        <v>330</v>
      </c>
      <c r="J35" s="364">
        <f>AVERAGE(J17:J18)</f>
        <v>1793090.0162606286</v>
      </c>
      <c r="M35" s="361">
        <f>J35</f>
        <v>1793090.0162606286</v>
      </c>
    </row>
    <row r="36" spans="2:55" x14ac:dyDescent="0.2">
      <c r="D36" t="s">
        <v>614</v>
      </c>
      <c r="H36" s="19" t="s">
        <v>330</v>
      </c>
      <c r="J36" s="364">
        <f>AVERAGE(J26:J27)</f>
        <v>620756.2818551386</v>
      </c>
      <c r="M36" s="361">
        <f>J36</f>
        <v>620756.2818551386</v>
      </c>
    </row>
    <row r="38" spans="2:55" ht="12" x14ac:dyDescent="0.2">
      <c r="C38" s="101" t="s">
        <v>615</v>
      </c>
    </row>
    <row r="39" spans="2:55" x14ac:dyDescent="0.2">
      <c r="D39" t="s">
        <v>318</v>
      </c>
      <c r="H39" s="19" t="s">
        <v>330</v>
      </c>
      <c r="J39" s="364">
        <f>Broadband.gross.adds.residential.with.line.rental</f>
        <v>813602.4686677712</v>
      </c>
      <c r="M39" s="361">
        <f>J39</f>
        <v>813602.4686677712</v>
      </c>
    </row>
    <row r="40" spans="2:55" x14ac:dyDescent="0.2">
      <c r="D40" t="s">
        <v>614</v>
      </c>
      <c r="H40" s="19" t="s">
        <v>330</v>
      </c>
      <c r="J40" s="364">
        <f>Broadband.gross.adds.non.residential</f>
        <v>-85345.515107768588</v>
      </c>
      <c r="M40" s="361">
        <f>J40</f>
        <v>-85345.515107768588</v>
      </c>
    </row>
    <row r="42" spans="2:55" ht="12" x14ac:dyDescent="0.2">
      <c r="C42" s="101" t="s">
        <v>616</v>
      </c>
    </row>
    <row r="43" spans="2:55" x14ac:dyDescent="0.2">
      <c r="D43" t="s">
        <v>318</v>
      </c>
      <c r="H43" s="19" t="s">
        <v>330</v>
      </c>
      <c r="J43" s="364">
        <f>MAX(0,J39,J23)</f>
        <v>813602.4686677712</v>
      </c>
      <c r="M43" s="361">
        <f>J43</f>
        <v>813602.4686677712</v>
      </c>
    </row>
    <row r="44" spans="2:55" x14ac:dyDescent="0.2">
      <c r="D44" t="s">
        <v>614</v>
      </c>
      <c r="H44" s="19" t="s">
        <v>330</v>
      </c>
      <c r="J44" s="364">
        <f>MAX(0,J40,J24)</f>
        <v>0</v>
      </c>
      <c r="M44" s="361">
        <f>J44</f>
        <v>0</v>
      </c>
    </row>
    <row r="46" spans="2:55" ht="12" x14ac:dyDescent="0.2">
      <c r="B46" s="99">
        <v>1.2</v>
      </c>
      <c r="C46" s="99" t="s">
        <v>617</v>
      </c>
      <c r="D46" s="99"/>
      <c r="E46" s="99"/>
      <c r="F46" s="99"/>
      <c r="G46" s="99"/>
      <c r="H46" s="76"/>
      <c r="I46" s="76"/>
      <c r="J46" s="76"/>
      <c r="K46" s="76"/>
      <c r="L46" s="76"/>
      <c r="M46" s="76"/>
      <c r="N46" s="76"/>
      <c r="O46" s="76"/>
      <c r="P46" s="76"/>
      <c r="Q46" s="76"/>
      <c r="R46" s="76"/>
      <c r="S46" s="76"/>
      <c r="T46" s="76"/>
      <c r="U46" s="76"/>
      <c r="V46" s="76"/>
      <c r="W46" s="76"/>
      <c r="X46" s="76"/>
      <c r="Y46" s="76"/>
      <c r="Z46" s="76"/>
      <c r="AA46" s="76"/>
      <c r="AB46" s="76"/>
      <c r="AC46" s="76"/>
      <c r="AD46" s="76"/>
      <c r="AE46" s="76"/>
      <c r="AF46" s="76"/>
      <c r="AG46" s="76"/>
      <c r="AH46" s="76"/>
      <c r="AI46" s="76"/>
      <c r="AJ46" s="76"/>
      <c r="AK46" s="76"/>
      <c r="AL46" s="76"/>
      <c r="AM46" s="76"/>
      <c r="AN46" s="76"/>
      <c r="AO46" s="76"/>
      <c r="AP46" s="76"/>
      <c r="AQ46" s="76"/>
      <c r="AR46" s="76"/>
      <c r="AS46" s="76"/>
      <c r="AT46" s="76"/>
      <c r="AU46" s="76"/>
      <c r="AV46" s="76"/>
      <c r="AW46" s="76"/>
      <c r="AX46" s="76"/>
      <c r="AY46" s="76"/>
      <c r="AZ46" s="76"/>
      <c r="BA46" s="76"/>
      <c r="BB46" s="76"/>
      <c r="BC46" s="76"/>
    </row>
    <row r="47" spans="2:55" ht="12" x14ac:dyDescent="0.2">
      <c r="C47" s="101"/>
    </row>
    <row r="48" spans="2:55" ht="19.2" x14ac:dyDescent="0.2">
      <c r="C48" s="100">
        <v>1</v>
      </c>
      <c r="D48" t="s">
        <v>618</v>
      </c>
      <c r="H48" s="19" t="s">
        <v>619</v>
      </c>
      <c r="J48" s="581">
        <v>2026271291</v>
      </c>
      <c r="K48" s="365"/>
      <c r="M48" s="117">
        <v>0</v>
      </c>
      <c r="P48" s="103"/>
      <c r="Q48" s="103"/>
    </row>
    <row r="49" spans="2:55" x14ac:dyDescent="0.2">
      <c r="K49" s="250"/>
      <c r="P49" s="103"/>
      <c r="Q49" s="103"/>
    </row>
    <row r="50" spans="2:55" x14ac:dyDescent="0.2">
      <c r="C50" s="176">
        <f>1+C48</f>
        <v>2</v>
      </c>
      <c r="D50" t="s">
        <v>620</v>
      </c>
      <c r="H50" s="19" t="s">
        <v>619</v>
      </c>
      <c r="J50" s="362">
        <f>SUMPRODUCT(vector.users.telephone,vector.periodicity,vector.implicit.prices.line.rental.before.discount)</f>
        <v>20637177565.441013</v>
      </c>
      <c r="M50" s="362">
        <f>SUMPRODUCT(vector.users.telephone,vector.periodicity,vector.implicit.prices.voice.before.discount)</f>
        <v>3634679085.575429</v>
      </c>
      <c r="P50" s="366"/>
      <c r="Q50" s="367"/>
    </row>
    <row r="51" spans="2:55" x14ac:dyDescent="0.2">
      <c r="C51" s="93">
        <f>1+C50</f>
        <v>3</v>
      </c>
      <c r="D51" t="s">
        <v>621</v>
      </c>
      <c r="H51" s="19" t="s">
        <v>619</v>
      </c>
      <c r="J51" s="362">
        <f>SUMPRODUCT(vector.users.telephone,vector.periodicity,vector.implicit.prices.line.rental.after.discount)</f>
        <v>16626891156.757742</v>
      </c>
      <c r="M51" s="362">
        <f>SUMPRODUCT(vector.users.telephone,vector.periodicity,vector.implicit.prices.voice.after.discount)</f>
        <v>2630899163.2378721</v>
      </c>
      <c r="P51" s="366"/>
      <c r="Q51" s="367"/>
    </row>
    <row r="52" spans="2:55" x14ac:dyDescent="0.2">
      <c r="P52" s="366"/>
      <c r="Q52" s="367"/>
    </row>
    <row r="53" spans="2:55" ht="12" x14ac:dyDescent="0.2">
      <c r="C53" s="93">
        <v>5</v>
      </c>
      <c r="D53" s="101" t="s">
        <v>64</v>
      </c>
      <c r="H53" s="19" t="s">
        <v>619</v>
      </c>
      <c r="J53" s="368">
        <f>J48+J51</f>
        <v>18653162447.757744</v>
      </c>
      <c r="K53" s="369">
        <f>J53/SUM($J$53,$M$53)</f>
        <v>0.87639111315677087</v>
      </c>
      <c r="M53" s="368">
        <f>M48+M51</f>
        <v>2630899163.2378721</v>
      </c>
      <c r="N53" s="369">
        <f>M53/SUM($J$53,$M$53)</f>
        <v>0.12360888684322903</v>
      </c>
      <c r="P53" s="366"/>
      <c r="Q53" s="370"/>
    </row>
    <row r="55" spans="2:55" ht="12" x14ac:dyDescent="0.2">
      <c r="B55" s="99">
        <v>1.2</v>
      </c>
      <c r="C55" s="99" t="s">
        <v>622</v>
      </c>
      <c r="D55" s="99"/>
      <c r="E55" s="99"/>
      <c r="F55" s="99"/>
      <c r="G55" s="99"/>
      <c r="H55" s="76"/>
      <c r="I55" s="76"/>
      <c r="J55" s="76"/>
      <c r="K55" s="76"/>
      <c r="L55" s="76"/>
      <c r="M55" s="76"/>
      <c r="N55" s="76"/>
      <c r="O55" s="76"/>
      <c r="P55" s="76"/>
      <c r="Q55" s="76"/>
      <c r="R55" s="76"/>
      <c r="S55" s="76"/>
      <c r="T55" s="76"/>
      <c r="U55" s="76"/>
      <c r="V55" s="76"/>
      <c r="W55" s="76"/>
      <c r="X55" s="76"/>
      <c r="Y55" s="76"/>
      <c r="Z55" s="76"/>
      <c r="AA55" s="76"/>
      <c r="AB55" s="76"/>
      <c r="AC55" s="76"/>
      <c r="AD55" s="76"/>
      <c r="AE55" s="76"/>
      <c r="AF55" s="76"/>
      <c r="AG55" s="76"/>
      <c r="AH55" s="76"/>
      <c r="AI55" s="76"/>
      <c r="AJ55" s="76"/>
      <c r="AK55" s="76"/>
      <c r="AL55" s="76"/>
      <c r="AM55" s="76"/>
      <c r="AN55" s="76"/>
      <c r="AO55" s="76"/>
      <c r="AP55" s="76"/>
      <c r="AQ55" s="76"/>
      <c r="AR55" s="76"/>
      <c r="AS55" s="76"/>
      <c r="AT55" s="76"/>
      <c r="AU55" s="76"/>
      <c r="AV55" s="76"/>
      <c r="AW55" s="76"/>
      <c r="AX55" s="76"/>
      <c r="AY55" s="76"/>
      <c r="AZ55" s="76"/>
      <c r="BA55" s="76"/>
      <c r="BB55" s="76"/>
      <c r="BC55" s="76"/>
    </row>
    <row r="57" spans="2:55" ht="12" x14ac:dyDescent="0.2">
      <c r="C57" s="101" t="s">
        <v>623</v>
      </c>
      <c r="J57" s="368">
        <f>J59</f>
        <v>756354733.57112586</v>
      </c>
      <c r="K57" s="369">
        <f>J57/J$98</f>
        <v>3.3373328938687448E-2</v>
      </c>
      <c r="M57" s="368">
        <f>M59</f>
        <v>106678588.21454051</v>
      </c>
      <c r="N57" s="369">
        <f>M57/M$98</f>
        <v>2.9350208286036773E-2</v>
      </c>
    </row>
    <row r="58" spans="2:55" x14ac:dyDescent="0.2">
      <c r="C58" s="176">
        <f>1+C53</f>
        <v>6</v>
      </c>
      <c r="D58" t="str">
        <f>Control!D14</f>
        <v>Costos de facturación (incluyendo el sistema de facturación a clientes minoristas) sobre el total de ingresos</v>
      </c>
      <c r="H58" s="19" t="s">
        <v>223</v>
      </c>
      <c r="J58" s="371">
        <f>Billing.cost</f>
        <v>4.0548337885839066E-2</v>
      </c>
      <c r="M58" s="372">
        <f>Billing.cost</f>
        <v>4.0548337885839066E-2</v>
      </c>
    </row>
    <row r="59" spans="2:55" x14ac:dyDescent="0.2">
      <c r="C59" s="93">
        <f>1+C58</f>
        <v>7</v>
      </c>
      <c r="D59" t="s">
        <v>624</v>
      </c>
      <c r="H59" t="s">
        <v>619</v>
      </c>
      <c r="J59" s="362">
        <f>J58*J$53</f>
        <v>756354733.57112586</v>
      </c>
      <c r="M59" s="362">
        <f>M58*M$53</f>
        <v>106678588.21454051</v>
      </c>
    </row>
    <row r="61" spans="2:55" ht="12" x14ac:dyDescent="0.2">
      <c r="C61" s="101" t="s">
        <v>625</v>
      </c>
      <c r="J61" s="368">
        <f>J63</f>
        <v>360650956.13464326</v>
      </c>
      <c r="K61" s="369">
        <f>J61/J$98</f>
        <v>1.5913330685860958E-2</v>
      </c>
      <c r="M61" s="368">
        <f>M63</f>
        <v>50867315.468516111</v>
      </c>
      <c r="N61" s="369">
        <f>M61/M$98</f>
        <v>1.3994994955782453E-2</v>
      </c>
    </row>
    <row r="62" spans="2:55" x14ac:dyDescent="0.2">
      <c r="C62" s="93">
        <f>1+C59</f>
        <v>8</v>
      </c>
      <c r="D62" t="s">
        <v>626</v>
      </c>
      <c r="H62" s="19" t="s">
        <v>223</v>
      </c>
      <c r="J62" s="371">
        <f>Bad.debt.cost</f>
        <v>1.9334574346024435E-2</v>
      </c>
      <c r="M62" s="372">
        <f>Bad.debt.cost</f>
        <v>1.9334574346024435E-2</v>
      </c>
    </row>
    <row r="63" spans="2:55" x14ac:dyDescent="0.2">
      <c r="C63" s="93">
        <f>1+C62</f>
        <v>9</v>
      </c>
      <c r="D63" t="s">
        <v>624</v>
      </c>
      <c r="H63" t="s">
        <v>619</v>
      </c>
      <c r="J63" s="362">
        <f>J62*J$53</f>
        <v>360650956.13464326</v>
      </c>
      <c r="M63" s="362">
        <f>M62*M$53</f>
        <v>50867315.468516111</v>
      </c>
    </row>
    <row r="65" spans="3:16" ht="12" x14ac:dyDescent="0.2">
      <c r="C65" s="101" t="s">
        <v>231</v>
      </c>
      <c r="J65" s="368">
        <f>J68</f>
        <v>0</v>
      </c>
      <c r="K65" s="369">
        <f>J65/J$98</f>
        <v>0</v>
      </c>
      <c r="M65" s="368">
        <f>M68</f>
        <v>0</v>
      </c>
      <c r="N65" s="369">
        <f>M65/M$98</f>
        <v>0</v>
      </c>
    </row>
    <row r="66" spans="3:16" x14ac:dyDescent="0.2">
      <c r="C66" s="93">
        <f>1+C63</f>
        <v>10</v>
      </c>
      <c r="D66" t="s">
        <v>627</v>
      </c>
      <c r="J66" s="373">
        <f>Marketing.and.sales.per.gross.add.line.rental</f>
        <v>0</v>
      </c>
      <c r="M66" s="373">
        <f>Marketing.and.sales.per.gross.add.line.rental</f>
        <v>0</v>
      </c>
    </row>
    <row r="67" spans="3:16" x14ac:dyDescent="0.2">
      <c r="C67" s="93">
        <f>1+C66</f>
        <v>11</v>
      </c>
      <c r="D67" t="s">
        <v>628</v>
      </c>
      <c r="J67" s="371">
        <f>Marketing.and.sales.minimum.proportion.line.rental</f>
        <v>0</v>
      </c>
      <c r="M67" s="371">
        <f>Marketing.and.sales.minimum.proportion.line.rental</f>
        <v>0</v>
      </c>
    </row>
    <row r="68" spans="3:16" x14ac:dyDescent="0.2">
      <c r="C68" s="93">
        <f>1+C67</f>
        <v>12</v>
      </c>
      <c r="D68" t="s">
        <v>629</v>
      </c>
      <c r="J68" s="362">
        <f>MAX(J66*J23,J$53*J67)</f>
        <v>0</v>
      </c>
      <c r="M68" s="362">
        <f>MAX(M66*M23,M$53*M67)</f>
        <v>0</v>
      </c>
    </row>
    <row r="70" spans="3:16" ht="12" x14ac:dyDescent="0.2">
      <c r="C70" s="101" t="s">
        <v>242</v>
      </c>
      <c r="J70" s="368">
        <f>J73</f>
        <v>402244408.83704424</v>
      </c>
      <c r="K70" s="369">
        <f>J70/J$98</f>
        <v>1.7748596490543639E-2</v>
      </c>
      <c r="M70" s="368">
        <f>M73</f>
        <v>56733783.431650966</v>
      </c>
      <c r="N70" s="369">
        <f>M70/M$98</f>
        <v>1.560902134573707E-2</v>
      </c>
    </row>
    <row r="71" spans="3:16" x14ac:dyDescent="0.2">
      <c r="C71" s="93">
        <f>1+C62</f>
        <v>9</v>
      </c>
      <c r="D71" t="s">
        <v>630</v>
      </c>
      <c r="H71" s="19" t="s">
        <v>244</v>
      </c>
      <c r="J71" s="361">
        <f>Customer.care.line.rental.per.staff</f>
        <v>4723.7325488630213</v>
      </c>
      <c r="M71" s="361">
        <f>Customer.care.line.rental.per.staff</f>
        <v>4723.7325488630213</v>
      </c>
    </row>
    <row r="72" spans="3:16" x14ac:dyDescent="0.2">
      <c r="C72" s="93">
        <f>1+C71</f>
        <v>10</v>
      </c>
      <c r="D72" t="s">
        <v>631</v>
      </c>
      <c r="H72" s="19" t="s">
        <v>250</v>
      </c>
      <c r="J72" s="361">
        <f>Monthly.cost.per.staff</f>
        <v>17763.928930116745</v>
      </c>
      <c r="M72" s="361">
        <f>Monthly.cost.per.staff</f>
        <v>17763.928930116745</v>
      </c>
    </row>
    <row r="73" spans="3:16" x14ac:dyDescent="0.2">
      <c r="C73" s="93">
        <f>1+C72</f>
        <v>11</v>
      </c>
      <c r="D73" t="s">
        <v>632</v>
      </c>
      <c r="H73" t="s">
        <v>619</v>
      </c>
      <c r="J73" s="362">
        <f>J9/J71*J72*12*K53</f>
        <v>402244408.83704424</v>
      </c>
      <c r="M73" s="362">
        <f>M9/M71*M72*12*N53</f>
        <v>56733783.431650966</v>
      </c>
      <c r="P73" t="s">
        <v>633</v>
      </c>
    </row>
    <row r="75" spans="3:16" ht="12" x14ac:dyDescent="0.2">
      <c r="C75" s="101" t="s">
        <v>259</v>
      </c>
      <c r="J75" s="368">
        <f>J87</f>
        <v>528702823.56633997</v>
      </c>
      <c r="K75" s="369">
        <f>J75/J$98</f>
        <v>2.3328436325616046E-2</v>
      </c>
      <c r="M75" s="368">
        <f>M87</f>
        <v>74569865.566650286</v>
      </c>
      <c r="N75" s="369">
        <f>M75/M$98</f>
        <v>2.0516217198538359E-2</v>
      </c>
    </row>
    <row r="76" spans="3:16" ht="12" x14ac:dyDescent="0.2">
      <c r="C76" s="176">
        <f>1+C73</f>
        <v>12</v>
      </c>
      <c r="D76" s="101" t="s">
        <v>634</v>
      </c>
      <c r="H76" t="s">
        <v>635</v>
      </c>
      <c r="J76" s="362">
        <f>J9/Customer.care.line.rental.per.staff</f>
        <v>2153.137565429709</v>
      </c>
      <c r="M76" s="362">
        <f>M9/Customer.care.line.rental.per.staff</f>
        <v>2153.137565429709</v>
      </c>
    </row>
    <row r="77" spans="3:16" x14ac:dyDescent="0.2">
      <c r="C77" s="93">
        <f>1+C76</f>
        <v>13</v>
      </c>
      <c r="D77" s="102" t="s">
        <v>266</v>
      </c>
      <c r="H77" s="19" t="s">
        <v>223</v>
      </c>
      <c r="J77" s="374">
        <f>Admin.staff.per.customer.care.staff</f>
        <v>0.1293</v>
      </c>
      <c r="M77" s="374">
        <f>Admin.staff.per.customer.care.staff</f>
        <v>0.1293</v>
      </c>
    </row>
    <row r="78" spans="3:16" x14ac:dyDescent="0.2">
      <c r="C78" s="93">
        <f>1+C77</f>
        <v>14</v>
      </c>
      <c r="D78" s="102" t="s">
        <v>636</v>
      </c>
      <c r="H78" t="s">
        <v>635</v>
      </c>
      <c r="J78" s="362">
        <f>J76*J77</f>
        <v>278.40068721006139</v>
      </c>
      <c r="M78" s="362">
        <f>M76*M77</f>
        <v>278.40068721006139</v>
      </c>
    </row>
    <row r="79" spans="3:16" x14ac:dyDescent="0.2">
      <c r="C79" s="93">
        <f>1+C78</f>
        <v>15</v>
      </c>
      <c r="D79" s="102" t="s">
        <v>637</v>
      </c>
      <c r="H79" t="s">
        <v>635</v>
      </c>
      <c r="J79" s="362">
        <f>(J76+J78)*K53</f>
        <v>2130.978515914238</v>
      </c>
      <c r="M79" s="362">
        <f>(M76+M78)*N53</f>
        <v>300.55973672553222</v>
      </c>
      <c r="P79" t="s">
        <v>633</v>
      </c>
    </row>
    <row r="81" spans="3:16" ht="12" x14ac:dyDescent="0.2">
      <c r="C81" s="93">
        <f>1+C79</f>
        <v>16</v>
      </c>
      <c r="D81" s="101" t="s">
        <v>638</v>
      </c>
    </row>
    <row r="82" spans="3:16" ht="13.2" x14ac:dyDescent="0.2">
      <c r="C82" s="93">
        <f>1+C81</f>
        <v>17</v>
      </c>
      <c r="D82" s="102" t="s">
        <v>639</v>
      </c>
      <c r="E82" s="102"/>
      <c r="H82" s="19" t="s">
        <v>261</v>
      </c>
      <c r="J82" s="361">
        <f>Floorspace.per.staff</f>
        <v>10</v>
      </c>
      <c r="M82" s="361">
        <f>Floorspace.per.staff</f>
        <v>10</v>
      </c>
    </row>
    <row r="83" spans="3:16" x14ac:dyDescent="0.2">
      <c r="C83" s="93">
        <f>1+C82</f>
        <v>18</v>
      </c>
      <c r="D83" s="102" t="s">
        <v>640</v>
      </c>
      <c r="E83" s="102"/>
      <c r="H83" s="19" t="s">
        <v>641</v>
      </c>
      <c r="J83" s="361">
        <f>Rent.per.sqm</f>
        <v>791</v>
      </c>
      <c r="M83" s="361">
        <f>Rent.per.sqm</f>
        <v>791</v>
      </c>
    </row>
    <row r="84" spans="3:16" x14ac:dyDescent="0.2">
      <c r="C84" s="93">
        <f>1+C83</f>
        <v>19</v>
      </c>
      <c r="D84" s="102" t="s">
        <v>638</v>
      </c>
      <c r="H84" t="s">
        <v>619</v>
      </c>
      <c r="J84" s="362">
        <f>J79*J83*J82*12</f>
        <v>202272480.73057947</v>
      </c>
      <c r="M84" s="362">
        <f>M79*M83*M82*12</f>
        <v>28529130.209987517</v>
      </c>
      <c r="P84" t="s">
        <v>633</v>
      </c>
    </row>
    <row r="86" spans="3:16" ht="12" x14ac:dyDescent="0.2">
      <c r="C86" s="93">
        <f>1+C84</f>
        <v>20</v>
      </c>
      <c r="D86" s="101" t="s">
        <v>642</v>
      </c>
      <c r="H86" s="19" t="s">
        <v>223</v>
      </c>
      <c r="J86" s="372">
        <f>Admin.costs</f>
        <v>1.7500000000000002E-2</v>
      </c>
      <c r="M86" s="372">
        <f>Admin.costs</f>
        <v>1.7500000000000002E-2</v>
      </c>
    </row>
    <row r="87" spans="3:16" x14ac:dyDescent="0.2">
      <c r="C87" s="93">
        <f>1+C86</f>
        <v>21</v>
      </c>
      <c r="D87" s="102" t="s">
        <v>259</v>
      </c>
      <c r="H87" t="s">
        <v>619</v>
      </c>
      <c r="J87" s="362">
        <f>J84+J86*J$53</f>
        <v>528702823.56633997</v>
      </c>
      <c r="M87" s="362">
        <f>M84+M86*M$53</f>
        <v>74569865.566650286</v>
      </c>
      <c r="P87" t="s">
        <v>633</v>
      </c>
    </row>
    <row r="89" spans="3:16" ht="12" x14ac:dyDescent="0.2">
      <c r="C89" s="101" t="s">
        <v>643</v>
      </c>
    </row>
    <row r="90" spans="3:16" x14ac:dyDescent="0.2">
      <c r="C90" s="93">
        <f>1+C87</f>
        <v>22</v>
      </c>
      <c r="D90" t="s">
        <v>643</v>
      </c>
      <c r="H90" s="19" t="s">
        <v>223</v>
      </c>
      <c r="J90" s="371">
        <f>Retail.profit</f>
        <v>0.10970000000000001</v>
      </c>
      <c r="K90" s="369">
        <f>SUM(K57,K61,K70,K75)*J90</f>
        <v>9.912897060745678E-3</v>
      </c>
      <c r="M90" s="371">
        <f>Retail.profit</f>
        <v>0.10970000000000001</v>
      </c>
      <c r="N90" s="369">
        <f>SUM(N57,N61,N70,N75)*M90</f>
        <v>8.7179074639345856E-3</v>
      </c>
    </row>
    <row r="92" spans="3:16" ht="12" x14ac:dyDescent="0.2">
      <c r="C92" s="101" t="s">
        <v>644</v>
      </c>
    </row>
    <row r="93" spans="3:16" x14ac:dyDescent="0.2">
      <c r="C93" s="93">
        <f>1+C90</f>
        <v>23</v>
      </c>
      <c r="D93" t="s">
        <v>645</v>
      </c>
      <c r="H93" t="s">
        <v>619</v>
      </c>
      <c r="J93" s="375">
        <f>J50-J51</f>
        <v>4010286408.6832714</v>
      </c>
      <c r="K93" s="369">
        <f>J93/J98</f>
        <v>0.17694952052911123</v>
      </c>
      <c r="M93" s="375">
        <f>M50-M51</f>
        <v>1003779922.3375568</v>
      </c>
      <c r="N93" s="369">
        <f>M93/M98</f>
        <v>0.27616741360224989</v>
      </c>
    </row>
    <row r="94" spans="3:16" ht="12" x14ac:dyDescent="0.2">
      <c r="C94" s="93">
        <f>1+C93</f>
        <v>24</v>
      </c>
      <c r="D94" t="s">
        <v>646</v>
      </c>
      <c r="H94" t="s">
        <v>619</v>
      </c>
      <c r="J94" s="368">
        <f>SUM(J57,J61,J70,J75,J65)*(1+J90)+J93</f>
        <v>6282899766.3477993</v>
      </c>
      <c r="M94" s="368">
        <f>SUM(M57,M61,M70,M75,M65)*(1+M90)+M93</f>
        <v>1324316270.9480596</v>
      </c>
    </row>
    <row r="97" spans="1:53" ht="12" x14ac:dyDescent="0.2">
      <c r="C97" s="101" t="s">
        <v>647</v>
      </c>
    </row>
    <row r="98" spans="1:53" x14ac:dyDescent="0.2">
      <c r="C98" s="93">
        <f>1+C94</f>
        <v>25</v>
      </c>
      <c r="D98" t="s">
        <v>648</v>
      </c>
      <c r="H98" t="s">
        <v>619</v>
      </c>
      <c r="J98" s="362">
        <f>J48+J50</f>
        <v>22663448856.441013</v>
      </c>
      <c r="M98" s="362">
        <f>M48+M50</f>
        <v>3634679085.575429</v>
      </c>
    </row>
    <row r="99" spans="1:53" x14ac:dyDescent="0.2">
      <c r="C99" s="93">
        <f>1+C98</f>
        <v>26</v>
      </c>
      <c r="D99" t="s">
        <v>649</v>
      </c>
      <c r="H99" t="s">
        <v>619</v>
      </c>
      <c r="J99" s="361">
        <f>J94</f>
        <v>6282899766.3477993</v>
      </c>
      <c r="M99" s="361">
        <f>M94</f>
        <v>1324316270.9480596</v>
      </c>
    </row>
    <row r="100" spans="1:53" x14ac:dyDescent="0.2">
      <c r="C100" s="93">
        <f>1+C99</f>
        <v>27</v>
      </c>
      <c r="D100" t="s">
        <v>650</v>
      </c>
      <c r="H100" t="s">
        <v>619</v>
      </c>
      <c r="J100" s="362">
        <f>J98-J99</f>
        <v>16380549090.093214</v>
      </c>
      <c r="M100" s="362">
        <f>M98-M99</f>
        <v>2310362814.6273694</v>
      </c>
    </row>
    <row r="102" spans="1:53" ht="12" x14ac:dyDescent="0.2">
      <c r="C102" s="101" t="s">
        <v>651</v>
      </c>
      <c r="H102" s="19" t="s">
        <v>223</v>
      </c>
      <c r="J102" s="376">
        <f>J99/J98</f>
        <v>0.27722611003056502</v>
      </c>
      <c r="K102" s="82" t="s">
        <v>652</v>
      </c>
      <c r="M102" s="376">
        <f>M99/M98</f>
        <v>0.36435576285227905</v>
      </c>
      <c r="N102" s="82" t="s">
        <v>653</v>
      </c>
    </row>
    <row r="103" spans="1:53" x14ac:dyDescent="0.2">
      <c r="C103" s="93">
        <f>1+C99</f>
        <v>27</v>
      </c>
      <c r="D103" s="102" t="s">
        <v>654</v>
      </c>
      <c r="H103" s="19" t="s">
        <v>223</v>
      </c>
      <c r="J103" s="377">
        <f>J93/J98</f>
        <v>0.17694952052911123</v>
      </c>
      <c r="K103" s="82"/>
      <c r="M103" s="377">
        <f>M93/M98</f>
        <v>0.27616741360224989</v>
      </c>
      <c r="N103" s="82"/>
    </row>
    <row r="104" spans="1:53" x14ac:dyDescent="0.2">
      <c r="C104" s="93">
        <f>1+C103</f>
        <v>28</v>
      </c>
      <c r="D104" s="102" t="s">
        <v>655</v>
      </c>
      <c r="H104" s="19" t="s">
        <v>223</v>
      </c>
      <c r="J104" s="377">
        <f>J102-J103</f>
        <v>0.10027658950145379</v>
      </c>
      <c r="K104" s="82" t="s">
        <v>656</v>
      </c>
      <c r="M104" s="377">
        <f>M102-M103</f>
        <v>8.8188349250029163E-2</v>
      </c>
      <c r="N104" s="82" t="s">
        <v>657</v>
      </c>
    </row>
    <row r="106" spans="1:53" ht="12" x14ac:dyDescent="0.2">
      <c r="A106" s="99" t="s">
        <v>358</v>
      </c>
      <c r="B106" s="99" t="s">
        <v>292</v>
      </c>
      <c r="C106" s="76"/>
      <c r="D106" s="76"/>
      <c r="E106" s="76"/>
      <c r="F106" s="76"/>
      <c r="G106" s="76"/>
      <c r="H106" s="76"/>
      <c r="I106" s="76"/>
      <c r="J106" s="76"/>
      <c r="K106" s="76"/>
      <c r="L106" s="76"/>
      <c r="M106" s="76"/>
      <c r="N106" s="76"/>
      <c r="O106" s="76"/>
      <c r="P106" s="76"/>
      <c r="Q106" s="76"/>
      <c r="R106" s="76"/>
      <c r="S106" s="76"/>
      <c r="T106" s="76"/>
      <c r="U106" s="76"/>
      <c r="V106" s="76"/>
      <c r="W106" s="76"/>
      <c r="X106" s="76"/>
      <c r="Y106" s="76"/>
      <c r="Z106" s="76"/>
      <c r="AA106" s="76"/>
      <c r="AB106" s="76"/>
      <c r="AC106" s="76"/>
      <c r="AD106" s="76"/>
      <c r="AE106" s="76"/>
      <c r="AF106" s="76"/>
      <c r="AG106" s="76"/>
      <c r="AH106" s="76"/>
      <c r="AI106" s="76"/>
      <c r="AJ106" s="76"/>
      <c r="AK106" s="76"/>
      <c r="AL106" s="76"/>
      <c r="AM106" s="76"/>
      <c r="AN106" s="76"/>
      <c r="AO106" s="76"/>
      <c r="AP106" s="76"/>
      <c r="AQ106" s="76"/>
      <c r="AR106" s="76"/>
      <c r="AS106" s="76"/>
      <c r="AT106" s="76"/>
      <c r="AU106" s="76"/>
      <c r="AV106" s="76"/>
      <c r="AW106" s="76"/>
      <c r="AX106" s="76"/>
      <c r="AY106" s="76"/>
      <c r="AZ106" s="76"/>
      <c r="BA106" s="76"/>
    </row>
  </sheetData>
  <dataValidations count="1">
    <dataValidation allowBlank="1" showDropDown="1" showInputMessage="1" showErrorMessage="1" sqref="J48" xr:uid="{4635CC60-6C9D-4EA4-AE5B-06F273A717D1}"/>
  </dataValidations>
  <pageMargins left="0.7" right="0.7" top="0.75" bottom="0.75" header="0.3" footer="0.3"/>
  <pageSetup orientation="portrait" r:id="rId1"/>
  <ignoredErrors>
    <ignoredError sqref="J10 J14 J17:J19 J23 J26:J28 J32 J35:J36 J39:J40 J43:J44 J50:J51 J59 J63 J68 J73 J76 J78:J79 J84 J87 J98:J100 J103:J104 M103:M104 M98:M100 M10 M14 M50:M51 M59 M63 M68 M73 M76 M78:M79 M84 M87" unlockedFormula="1"/>
  </ignoredErrors>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894B32-8044-40CA-B024-3AEB71A98ED5}">
  <sheetPr codeName="Hoja10"/>
  <dimension ref="A1:BC108"/>
  <sheetViews>
    <sheetView showGridLines="0" zoomScale="112" zoomScaleNormal="100" workbookViewId="0">
      <pane xSplit="9" ySplit="2" topLeftCell="J6" activePane="bottomRight" state="frozen"/>
      <selection activeCell="H120" sqref="H120"/>
      <selection pane="topRight" activeCell="H120" sqref="H120"/>
      <selection pane="bottomLeft" activeCell="H120" sqref="H120"/>
      <selection pane="bottomRight" activeCell="J18" sqref="J18"/>
    </sheetView>
  </sheetViews>
  <sheetFormatPr baseColWidth="10" defaultRowHeight="11.4" x14ac:dyDescent="0.2"/>
  <cols>
    <col min="1" max="2" width="6.875" customWidth="1"/>
    <col min="3" max="3" width="4.875" customWidth="1"/>
    <col min="4" max="4" width="22.875" customWidth="1"/>
    <col min="10" max="10" width="17.125" bestFit="1" customWidth="1"/>
    <col min="11" max="11" width="11.875" bestFit="1" customWidth="1"/>
    <col min="12" max="12" width="19.875" bestFit="1" customWidth="1"/>
    <col min="13" max="13" width="17.875" bestFit="1" customWidth="1"/>
    <col min="14" max="14" width="14.375" bestFit="1" customWidth="1"/>
  </cols>
  <sheetData>
    <row r="1" spans="1:55" s="87" customFormat="1" ht="33.75" customHeight="1" x14ac:dyDescent="0.2">
      <c r="C1" s="87" t="s">
        <v>658</v>
      </c>
    </row>
    <row r="2" spans="1:55" ht="12" x14ac:dyDescent="0.2">
      <c r="C2" s="73"/>
      <c r="D2" s="73" t="s">
        <v>212</v>
      </c>
      <c r="E2" s="43"/>
      <c r="F2" s="43"/>
      <c r="G2" s="43"/>
      <c r="H2" s="43" t="s">
        <v>213</v>
      </c>
      <c r="I2" s="43"/>
      <c r="J2" s="43"/>
      <c r="K2" s="43"/>
      <c r="L2" s="43"/>
      <c r="M2" s="43"/>
      <c r="N2" s="43"/>
      <c r="O2" s="43"/>
      <c r="P2" s="43" t="s">
        <v>215</v>
      </c>
      <c r="Q2" s="43"/>
      <c r="R2" s="43"/>
      <c r="S2" s="43"/>
      <c r="T2" s="43"/>
      <c r="U2" s="43"/>
      <c r="V2" s="43"/>
      <c r="W2" s="43"/>
      <c r="X2" s="43"/>
      <c r="Y2" s="43"/>
      <c r="Z2" s="43"/>
      <c r="AA2" s="43"/>
      <c r="AB2" s="43"/>
      <c r="AC2" s="43"/>
      <c r="AD2" s="43"/>
      <c r="AE2" s="43"/>
    </row>
    <row r="3" spans="1:55" ht="12" x14ac:dyDescent="0.2">
      <c r="A3" s="99">
        <v>1</v>
      </c>
      <c r="B3" s="99" t="s">
        <v>606</v>
      </c>
      <c r="C3" s="76"/>
      <c r="D3" s="76"/>
      <c r="E3" s="76"/>
      <c r="F3" s="76"/>
      <c r="G3" s="76"/>
      <c r="H3" s="76"/>
      <c r="I3" s="76"/>
      <c r="J3" s="76"/>
      <c r="K3" s="76"/>
      <c r="L3" s="76"/>
      <c r="M3" s="76"/>
      <c r="N3" s="76"/>
      <c r="O3" s="76"/>
      <c r="P3" s="76"/>
      <c r="Q3" s="76"/>
      <c r="R3" s="76"/>
      <c r="S3" s="76"/>
      <c r="T3" s="76"/>
      <c r="U3" s="76"/>
      <c r="V3" s="76"/>
      <c r="W3" s="76"/>
      <c r="X3" s="76"/>
      <c r="Y3" s="76"/>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row>
    <row r="5" spans="1:55" ht="12" x14ac:dyDescent="0.2">
      <c r="B5" s="99">
        <v>1.1000000000000001</v>
      </c>
      <c r="C5" s="99" t="s">
        <v>659</v>
      </c>
      <c r="D5" s="99"/>
      <c r="E5" s="99"/>
      <c r="F5" s="99"/>
      <c r="G5" s="99"/>
      <c r="H5" s="76"/>
      <c r="I5" s="76"/>
      <c r="J5" s="76"/>
      <c r="K5" s="76"/>
      <c r="L5" s="76"/>
      <c r="M5" s="76"/>
      <c r="N5" s="76"/>
      <c r="O5" s="76"/>
      <c r="P5" s="76"/>
      <c r="Q5" s="76"/>
      <c r="R5" s="76"/>
      <c r="S5" s="76"/>
      <c r="T5" s="76"/>
      <c r="U5" s="76"/>
      <c r="V5" s="76"/>
      <c r="W5" s="76"/>
      <c r="X5" s="76"/>
      <c r="Y5" s="76"/>
      <c r="Z5" s="76"/>
      <c r="AA5" s="76"/>
      <c r="AB5" s="76"/>
      <c r="AC5" s="76"/>
      <c r="AD5" s="76"/>
      <c r="AE5" s="76"/>
      <c r="AF5" s="76"/>
      <c r="AG5" s="76"/>
      <c r="AH5" s="76"/>
      <c r="AI5" s="76"/>
      <c r="AJ5" s="76"/>
      <c r="AK5" s="76"/>
      <c r="AL5" s="76"/>
      <c r="AM5" s="76"/>
      <c r="AN5" s="76"/>
      <c r="AO5" s="76"/>
      <c r="AP5" s="76"/>
      <c r="AQ5" s="76"/>
      <c r="AR5" s="76"/>
      <c r="AS5" s="76"/>
      <c r="AT5" s="76"/>
      <c r="AU5" s="76"/>
      <c r="AV5" s="76"/>
      <c r="AW5" s="76"/>
      <c r="AX5" s="76"/>
      <c r="AY5" s="76"/>
      <c r="AZ5" s="76"/>
      <c r="BA5" s="76"/>
      <c r="BB5" s="76"/>
      <c r="BC5" s="76"/>
    </row>
    <row r="7" spans="1:55" ht="12" x14ac:dyDescent="0.2">
      <c r="C7" s="101" t="s">
        <v>660</v>
      </c>
    </row>
    <row r="8" spans="1:55" x14ac:dyDescent="0.2">
      <c r="D8" t="str">
        <f>"Número de suscripciones en "&amp;Year.selected-1</f>
        <v>Número de suscripciones en 2024</v>
      </c>
      <c r="H8" s="19" t="s">
        <v>298</v>
      </c>
      <c r="J8" s="362">
        <f>INDEX(Broadbad.suscriptions.AEP,MATCH(Year.selected-1,Years,0))</f>
        <v>10488966</v>
      </c>
    </row>
    <row r="9" spans="1:55" x14ac:dyDescent="0.2">
      <c r="D9" t="str">
        <f>"Número de suscripciones en "&amp;Year.selected</f>
        <v>Número de suscripciones en 2025</v>
      </c>
      <c r="H9" s="19" t="s">
        <v>298</v>
      </c>
      <c r="J9" s="362">
        <f>INDEX(Broadbad.suscriptions.AEP,MATCH(Year.selected,Years,0))</f>
        <v>11077440</v>
      </c>
    </row>
    <row r="10" spans="1:55" x14ac:dyDescent="0.2">
      <c r="D10" t="s">
        <v>609</v>
      </c>
      <c r="H10" s="19" t="s">
        <v>298</v>
      </c>
      <c r="J10" s="362">
        <f>J9-J8</f>
        <v>588474</v>
      </c>
    </row>
    <row r="12" spans="1:55" x14ac:dyDescent="0.2">
      <c r="D12" t="s">
        <v>222</v>
      </c>
      <c r="H12" s="19" t="s">
        <v>223</v>
      </c>
      <c r="J12" s="363">
        <f>Line.rental.churn</f>
        <v>1.3326666666666671E-2</v>
      </c>
    </row>
    <row r="14" spans="1:55" x14ac:dyDescent="0.2">
      <c r="D14" t="s">
        <v>610</v>
      </c>
      <c r="H14" s="19" t="s">
        <v>298</v>
      </c>
      <c r="J14" s="362">
        <f>J8*J12+J10</f>
        <v>728256.95356000005</v>
      </c>
    </row>
    <row r="16" spans="1:55" ht="12" x14ac:dyDescent="0.2">
      <c r="C16" s="101" t="s">
        <v>661</v>
      </c>
    </row>
    <row r="17" spans="3:11" x14ac:dyDescent="0.2">
      <c r="D17" t="str">
        <f>"Número de líneas en "&amp;Year.selected-1</f>
        <v>Número de líneas en 2024</v>
      </c>
      <c r="H17" s="19" t="s">
        <v>298</v>
      </c>
      <c r="J17" s="362">
        <f>INDEX(AEP.broadband.subs.residential,MATCH(Year.selected-1,Years,0))</f>
        <v>8960515.1866195612</v>
      </c>
    </row>
    <row r="18" spans="3:11" x14ac:dyDescent="0.2">
      <c r="D18" t="str">
        <f>"Número de líneas en "&amp;Year.selected</f>
        <v>Número de líneas en 2025</v>
      </c>
      <c r="H18" s="19" t="s">
        <v>298</v>
      </c>
      <c r="J18" s="362">
        <f>INDEX(AEP.broadband.subs.residential,MATCH(Year.selected,Years,0))</f>
        <v>9654703.856233649</v>
      </c>
    </row>
    <row r="19" spans="3:11" x14ac:dyDescent="0.2">
      <c r="D19" t="s">
        <v>609</v>
      </c>
      <c r="H19" s="19" t="s">
        <v>298</v>
      </c>
      <c r="J19" s="378">
        <f>J18-J17</f>
        <v>694188.66961408779</v>
      </c>
    </row>
    <row r="21" spans="3:11" x14ac:dyDescent="0.2">
      <c r="D21" t="s">
        <v>222</v>
      </c>
      <c r="H21" s="19" t="s">
        <v>223</v>
      </c>
      <c r="J21" s="363">
        <f>Line.rental.churn</f>
        <v>1.3326666666666671E-2</v>
      </c>
    </row>
    <row r="23" spans="3:11" x14ac:dyDescent="0.2">
      <c r="D23" t="s">
        <v>610</v>
      </c>
      <c r="H23" s="19" t="s">
        <v>298</v>
      </c>
      <c r="J23" s="364">
        <f>J17*J21+J19</f>
        <v>813602.4686677712</v>
      </c>
      <c r="K23" s="82" t="s">
        <v>662</v>
      </c>
    </row>
    <row r="25" spans="3:11" ht="12" x14ac:dyDescent="0.2">
      <c r="C25" s="101" t="s">
        <v>663</v>
      </c>
    </row>
    <row r="26" spans="3:11" x14ac:dyDescent="0.2">
      <c r="D26" t="str">
        <f>"Número de líneas en "&amp;Year.selected-1</f>
        <v>Número de líneas en 2024</v>
      </c>
      <c r="H26" s="19" t="s">
        <v>298</v>
      </c>
      <c r="J26" s="362">
        <f>INDEX(AEP.broadband.subs.non.residential,MATCH(Year.selected-1,Years,0))</f>
        <v>1528450.8133804379</v>
      </c>
    </row>
    <row r="27" spans="3:11" x14ac:dyDescent="0.2">
      <c r="D27" t="str">
        <f>"Número de líneas en "&amp;Year.selected</f>
        <v>Número de líneas en 2025</v>
      </c>
      <c r="H27" s="19" t="s">
        <v>298</v>
      </c>
      <c r="J27" s="362">
        <f>INDEX(AEP.broadband.subs.non.residential,MATCH(Year.selected,Years,0))</f>
        <v>1422736.1437663527</v>
      </c>
    </row>
    <row r="28" spans="3:11" x14ac:dyDescent="0.2">
      <c r="D28" t="s">
        <v>609</v>
      </c>
      <c r="H28" s="19" t="s">
        <v>298</v>
      </c>
      <c r="J28" s="364">
        <f>J27-J26</f>
        <v>-105714.66961408523</v>
      </c>
    </row>
    <row r="30" spans="3:11" x14ac:dyDescent="0.2">
      <c r="D30" t="s">
        <v>222</v>
      </c>
      <c r="H30" s="19" t="s">
        <v>223</v>
      </c>
      <c r="J30" s="363">
        <f>Line.rental.churn</f>
        <v>1.3326666666666671E-2</v>
      </c>
    </row>
    <row r="32" spans="3:11" x14ac:dyDescent="0.2">
      <c r="D32" t="s">
        <v>610</v>
      </c>
      <c r="H32" s="19" t="s">
        <v>298</v>
      </c>
      <c r="J32" s="364">
        <f>J26*J30+J28</f>
        <v>-85345.515107768588</v>
      </c>
      <c r="K32" s="82" t="s">
        <v>664</v>
      </c>
    </row>
    <row r="34" spans="2:55" ht="12" x14ac:dyDescent="0.2">
      <c r="C34" s="101" t="s">
        <v>665</v>
      </c>
    </row>
    <row r="35" spans="2:55" x14ac:dyDescent="0.2">
      <c r="D35" t="s">
        <v>318</v>
      </c>
      <c r="H35" s="19" t="s">
        <v>298</v>
      </c>
      <c r="J35" s="364">
        <f>AVERAGE(J17:J18)</f>
        <v>9307609.5214266051</v>
      </c>
    </row>
    <row r="36" spans="2:55" x14ac:dyDescent="0.2">
      <c r="D36" t="s">
        <v>614</v>
      </c>
      <c r="H36" s="19" t="s">
        <v>298</v>
      </c>
      <c r="J36" s="364">
        <f>AVERAGE(J26:J27)</f>
        <v>1475593.4785733954</v>
      </c>
    </row>
    <row r="38" spans="2:55" ht="12" x14ac:dyDescent="0.2">
      <c r="B38" s="99">
        <v>1.2</v>
      </c>
      <c r="C38" s="99" t="s">
        <v>617</v>
      </c>
      <c r="D38" s="99"/>
      <c r="E38" s="99"/>
      <c r="F38" s="99"/>
      <c r="G38" s="99"/>
      <c r="H38" s="76"/>
      <c r="I38" s="76"/>
      <c r="J38" s="76"/>
      <c r="K38" s="76"/>
      <c r="L38" s="76"/>
      <c r="M38" s="76"/>
      <c r="N38" s="76"/>
      <c r="O38" s="76"/>
      <c r="P38" s="76"/>
      <c r="Q38" s="76"/>
      <c r="R38" s="76"/>
      <c r="S38" s="76"/>
      <c r="T38" s="76"/>
      <c r="U38" s="76"/>
      <c r="V38" s="76"/>
      <c r="W38" s="76"/>
      <c r="X38" s="76"/>
      <c r="Y38" s="76"/>
      <c r="Z38" s="76"/>
      <c r="AA38" s="76"/>
      <c r="AB38" s="76"/>
      <c r="AC38" s="76"/>
      <c r="AD38" s="76"/>
      <c r="AE38" s="76"/>
      <c r="AF38" s="76"/>
      <c r="AG38" s="76"/>
      <c r="AH38" s="76"/>
      <c r="AI38" s="76"/>
      <c r="AJ38" s="76"/>
      <c r="AK38" s="76"/>
      <c r="AL38" s="76"/>
      <c r="AM38" s="76"/>
      <c r="AN38" s="76"/>
      <c r="AO38" s="76"/>
      <c r="AP38" s="76"/>
      <c r="AQ38" s="76"/>
      <c r="AR38" s="76"/>
      <c r="AS38" s="76"/>
      <c r="AT38" s="76"/>
      <c r="AU38" s="76"/>
      <c r="AV38" s="76"/>
      <c r="AW38" s="76"/>
      <c r="AX38" s="76"/>
      <c r="AY38" s="76"/>
      <c r="AZ38" s="76"/>
      <c r="BA38" s="76"/>
      <c r="BB38" s="76"/>
      <c r="BC38" s="76"/>
    </row>
    <row r="39" spans="2:55" ht="12" x14ac:dyDescent="0.2">
      <c r="C39" s="101"/>
    </row>
    <row r="40" spans="2:55" x14ac:dyDescent="0.2">
      <c r="C40" s="100">
        <v>1</v>
      </c>
      <c r="D40" t="s">
        <v>618</v>
      </c>
      <c r="H40" s="19" t="s">
        <v>619</v>
      </c>
      <c r="J40" s="117">
        <v>0</v>
      </c>
      <c r="K40" s="103"/>
      <c r="P40" t="s">
        <v>666</v>
      </c>
    </row>
    <row r="42" spans="2:55" x14ac:dyDescent="0.2">
      <c r="C42" s="176">
        <f>1+C40</f>
        <v>2</v>
      </c>
      <c r="D42" t="s">
        <v>620</v>
      </c>
      <c r="H42" s="19" t="s">
        <v>619</v>
      </c>
      <c r="J42" s="379">
        <f>SUMPRODUCT(vector.users.broadband,vector.periodicity,vector.implicit.prices.broadband.before.discount)</f>
        <v>30578697387.151451</v>
      </c>
      <c r="K42" s="103"/>
      <c r="L42" s="380"/>
      <c r="N42" s="111"/>
    </row>
    <row r="43" spans="2:55" x14ac:dyDescent="0.2">
      <c r="C43" s="93">
        <f>1+C42</f>
        <v>3</v>
      </c>
      <c r="D43" t="s">
        <v>621</v>
      </c>
      <c r="H43" s="19" t="s">
        <v>619</v>
      </c>
      <c r="J43" s="362">
        <f>SUMPRODUCT(vector.users.broadband,vector.periodicity,vector.implicit.prices.broadband.after.discount)</f>
        <v>28872984209.199997</v>
      </c>
      <c r="L43" s="381"/>
    </row>
    <row r="45" spans="2:55" ht="12" x14ac:dyDescent="0.2">
      <c r="C45" s="93">
        <v>5</v>
      </c>
      <c r="D45" s="101" t="s">
        <v>64</v>
      </c>
      <c r="H45" s="19" t="s">
        <v>619</v>
      </c>
      <c r="J45" s="368">
        <f>J40+J43</f>
        <v>28872984209.199997</v>
      </c>
      <c r="K45" s="382"/>
      <c r="L45" s="383"/>
      <c r="P45" t="s">
        <v>667</v>
      </c>
    </row>
    <row r="47" spans="2:55" ht="12" x14ac:dyDescent="0.2">
      <c r="B47" s="99">
        <v>1.3</v>
      </c>
      <c r="C47" s="99" t="s">
        <v>622</v>
      </c>
      <c r="D47" s="99"/>
      <c r="E47" s="99"/>
      <c r="F47" s="99"/>
      <c r="G47" s="99"/>
      <c r="H47" s="76"/>
      <c r="I47" s="76"/>
      <c r="J47" s="76"/>
      <c r="K47" s="76"/>
      <c r="L47" s="76"/>
      <c r="M47" s="76"/>
      <c r="N47" s="76"/>
      <c r="O47" s="76"/>
      <c r="P47" s="76"/>
      <c r="Q47" s="76"/>
      <c r="R47" s="76"/>
      <c r="S47" s="76"/>
      <c r="T47" s="76"/>
      <c r="U47" s="76"/>
      <c r="V47" s="76"/>
      <c r="W47" s="76"/>
      <c r="X47" s="76"/>
      <c r="Y47" s="76"/>
      <c r="Z47" s="76"/>
      <c r="AA47" s="76"/>
      <c r="AB47" s="76"/>
      <c r="AC47" s="76"/>
      <c r="AD47" s="76"/>
      <c r="AE47" s="76"/>
      <c r="AF47" s="76"/>
      <c r="AG47" s="76"/>
      <c r="AH47" s="76"/>
      <c r="AI47" s="76"/>
      <c r="AJ47" s="76"/>
      <c r="AK47" s="76"/>
      <c r="AL47" s="76"/>
      <c r="AM47" s="76"/>
      <c r="AN47" s="76"/>
      <c r="AO47" s="76"/>
      <c r="AP47" s="76"/>
      <c r="AQ47" s="76"/>
      <c r="AR47" s="76"/>
      <c r="AS47" s="76"/>
      <c r="AT47" s="76"/>
      <c r="AU47" s="76"/>
      <c r="AV47" s="76"/>
      <c r="AW47" s="76"/>
      <c r="AX47" s="76"/>
      <c r="AY47" s="76"/>
      <c r="AZ47" s="76"/>
      <c r="BA47" s="76"/>
      <c r="BB47" s="76"/>
      <c r="BC47" s="76"/>
    </row>
    <row r="49" spans="3:14" ht="12" x14ac:dyDescent="0.2">
      <c r="C49" s="101" t="s">
        <v>623</v>
      </c>
      <c r="J49" s="368">
        <f>J51</f>
        <v>1170751519.4871373</v>
      </c>
      <c r="K49" s="369">
        <f>J49/J$90</f>
        <v>3.8286507259104617E-2</v>
      </c>
    </row>
    <row r="50" spans="3:14" x14ac:dyDescent="0.2">
      <c r="C50" s="176">
        <f>1+C45</f>
        <v>6</v>
      </c>
      <c r="D50" t="str">
        <f>Control!D14</f>
        <v>Costos de facturación (incluyendo el sistema de facturación a clientes minoristas) sobre el total de ingresos</v>
      </c>
      <c r="H50" s="19" t="s">
        <v>223</v>
      </c>
      <c r="J50" s="372">
        <f>Billing.cost</f>
        <v>4.0548337885839066E-2</v>
      </c>
    </row>
    <row r="51" spans="3:14" x14ac:dyDescent="0.2">
      <c r="C51" s="93">
        <f>1+C50</f>
        <v>7</v>
      </c>
      <c r="D51" t="s">
        <v>624</v>
      </c>
      <c r="H51" t="s">
        <v>619</v>
      </c>
      <c r="J51" s="362">
        <f>J50*J$45</f>
        <v>1170751519.4871373</v>
      </c>
    </row>
    <row r="53" spans="3:14" ht="12" x14ac:dyDescent="0.2">
      <c r="C53" s="101" t="s">
        <v>625</v>
      </c>
      <c r="J53" s="368">
        <f>J55</f>
        <v>558246859.78436685</v>
      </c>
      <c r="K53" s="369">
        <f>J53/J$90</f>
        <v>1.8256070646715347E-2</v>
      </c>
    </row>
    <row r="54" spans="3:14" x14ac:dyDescent="0.2">
      <c r="C54" s="93">
        <f>1+C51</f>
        <v>8</v>
      </c>
      <c r="D54" t="s">
        <v>626</v>
      </c>
      <c r="H54" s="19" t="s">
        <v>223</v>
      </c>
      <c r="J54" s="371">
        <f>Bad.debt.cost</f>
        <v>1.9334574346024435E-2</v>
      </c>
    </row>
    <row r="55" spans="3:14" x14ac:dyDescent="0.2">
      <c r="C55" s="93">
        <f>1+C54</f>
        <v>9</v>
      </c>
      <c r="D55" t="s">
        <v>624</v>
      </c>
      <c r="H55" t="s">
        <v>619</v>
      </c>
      <c r="J55" s="362">
        <f>J54*J$45</f>
        <v>558246859.78436685</v>
      </c>
    </row>
    <row r="57" spans="3:14" ht="12" x14ac:dyDescent="0.2">
      <c r="C57" s="101" t="s">
        <v>231</v>
      </c>
      <c r="J57" s="368">
        <f>J60</f>
        <v>1864401553.5207145</v>
      </c>
      <c r="K57" s="369">
        <f>J57/J$90</f>
        <v>6.0970600870137073E-2</v>
      </c>
    </row>
    <row r="58" spans="3:14" x14ac:dyDescent="0.2">
      <c r="C58" s="93">
        <f>1+C55</f>
        <v>10</v>
      </c>
      <c r="D58" t="s">
        <v>627</v>
      </c>
      <c r="H58" s="19" t="s">
        <v>234</v>
      </c>
      <c r="J58" s="373">
        <f>Marketing.and.sales.per.gross.add.broadband</f>
        <v>1800</v>
      </c>
    </row>
    <row r="59" spans="3:14" x14ac:dyDescent="0.2">
      <c r="C59" s="93">
        <f>1+C58</f>
        <v>11</v>
      </c>
      <c r="D59" t="s">
        <v>628</v>
      </c>
      <c r="H59" s="19" t="s">
        <v>223</v>
      </c>
      <c r="J59" s="371">
        <f>Marketing.and.sales.minimum.proportion.broadband</f>
        <v>6.4572527038152416E-2</v>
      </c>
      <c r="L59" s="114"/>
    </row>
    <row r="60" spans="3:14" x14ac:dyDescent="0.2">
      <c r="C60" s="93">
        <f>1+C59</f>
        <v>12</v>
      </c>
      <c r="D60" t="s">
        <v>629</v>
      </c>
      <c r="H60" s="19" t="s">
        <v>619</v>
      </c>
      <c r="J60" s="362">
        <f>MAX(J58*J14,J$45*J59)</f>
        <v>1864401553.5207145</v>
      </c>
      <c r="L60" s="114"/>
    </row>
    <row r="62" spans="3:14" ht="12" x14ac:dyDescent="0.2">
      <c r="C62" s="101" t="s">
        <v>242</v>
      </c>
      <c r="J62" s="368">
        <f>J65</f>
        <v>2499449596.5060015</v>
      </c>
      <c r="K62" s="369">
        <f>J62/J$90</f>
        <v>8.1738262583945759E-2</v>
      </c>
      <c r="M62" s="114"/>
    </row>
    <row r="63" spans="3:14" x14ac:dyDescent="0.2">
      <c r="C63" s="93">
        <f>1+C59</f>
        <v>12</v>
      </c>
      <c r="D63" t="s">
        <v>630</v>
      </c>
      <c r="H63" s="19" t="s">
        <v>244</v>
      </c>
      <c r="J63" s="361">
        <f>Customer.care.broadbandsubscriber.per.staff</f>
        <v>944.74650977260421</v>
      </c>
      <c r="M63" s="384"/>
      <c r="N63" s="383"/>
    </row>
    <row r="64" spans="3:14" x14ac:dyDescent="0.2">
      <c r="C64" s="93">
        <f>1+C63</f>
        <v>13</v>
      </c>
      <c r="D64" t="s">
        <v>631</v>
      </c>
      <c r="H64" s="19" t="s">
        <v>250</v>
      </c>
      <c r="J64" s="361">
        <f>Monthly.cost.per.staff</f>
        <v>17763.928930116745</v>
      </c>
      <c r="L64" s="380"/>
    </row>
    <row r="65" spans="3:14" x14ac:dyDescent="0.2">
      <c r="C65" s="93">
        <f>1+C64</f>
        <v>14</v>
      </c>
      <c r="D65" t="s">
        <v>632</v>
      </c>
      <c r="H65" t="s">
        <v>619</v>
      </c>
      <c r="J65" s="362">
        <f>J9/J63*J64*12</f>
        <v>2499449596.5060015</v>
      </c>
    </row>
    <row r="67" spans="3:14" ht="12" x14ac:dyDescent="0.2">
      <c r="C67" s="101" t="s">
        <v>259</v>
      </c>
      <c r="J67" s="368">
        <f>J79</f>
        <v>1762149561.0739717</v>
      </c>
      <c r="K67" s="369">
        <f>J67/J$90</f>
        <v>5.7626704589921196E-2</v>
      </c>
    </row>
    <row r="68" spans="3:14" ht="12" x14ac:dyDescent="0.2">
      <c r="C68" s="176">
        <f>1+C65</f>
        <v>15</v>
      </c>
      <c r="D68" s="101" t="s">
        <v>634</v>
      </c>
      <c r="H68" t="s">
        <v>635</v>
      </c>
      <c r="J68" s="362">
        <f>J9/Customer.care.broadbandsubscriber.per.staff</f>
        <v>11725.303968221364</v>
      </c>
    </row>
    <row r="69" spans="3:14" x14ac:dyDescent="0.2">
      <c r="C69" s="93">
        <f>1+C68</f>
        <v>16</v>
      </c>
      <c r="D69" s="102" t="s">
        <v>266</v>
      </c>
      <c r="H69" s="19" t="s">
        <v>223</v>
      </c>
      <c r="J69" s="372">
        <f>Admin.staff.per.customer.care.staff</f>
        <v>0.1293</v>
      </c>
    </row>
    <row r="70" spans="3:14" x14ac:dyDescent="0.2">
      <c r="C70" s="93">
        <f>1+C69</f>
        <v>17</v>
      </c>
      <c r="D70" s="102" t="s">
        <v>636</v>
      </c>
      <c r="H70" t="s">
        <v>635</v>
      </c>
      <c r="J70" s="362">
        <f>J68*J69</f>
        <v>1516.0818030910223</v>
      </c>
      <c r="N70" s="126"/>
    </row>
    <row r="71" spans="3:14" x14ac:dyDescent="0.2">
      <c r="C71" s="93">
        <f>1+C70</f>
        <v>18</v>
      </c>
      <c r="D71" s="102" t="s">
        <v>637</v>
      </c>
      <c r="H71" t="s">
        <v>635</v>
      </c>
      <c r="J71" s="362">
        <f>J68+J70</f>
        <v>13241.385771312387</v>
      </c>
      <c r="M71" s="385"/>
    </row>
    <row r="73" spans="3:14" ht="12" x14ac:dyDescent="0.2">
      <c r="C73" s="93">
        <f>1+C71</f>
        <v>19</v>
      </c>
      <c r="D73" s="101" t="s">
        <v>638</v>
      </c>
    </row>
    <row r="74" spans="3:14" ht="13.2" x14ac:dyDescent="0.2">
      <c r="C74" s="93">
        <f>1+C73</f>
        <v>20</v>
      </c>
      <c r="D74" s="102" t="s">
        <v>639</v>
      </c>
      <c r="E74" s="102"/>
      <c r="H74" s="19" t="s">
        <v>261</v>
      </c>
      <c r="J74" s="361">
        <f>Floorspace.per.staff</f>
        <v>10</v>
      </c>
    </row>
    <row r="75" spans="3:14" ht="13.2" x14ac:dyDescent="0.2">
      <c r="C75" s="93">
        <f>1+C74</f>
        <v>21</v>
      </c>
      <c r="D75" s="102" t="s">
        <v>640</v>
      </c>
      <c r="E75" s="102"/>
      <c r="H75" s="19" t="s">
        <v>264</v>
      </c>
      <c r="J75" s="361">
        <f>Rent.per.sqm</f>
        <v>791</v>
      </c>
    </row>
    <row r="76" spans="3:14" x14ac:dyDescent="0.2">
      <c r="C76" s="93">
        <f>1+C75</f>
        <v>22</v>
      </c>
      <c r="D76" s="102" t="s">
        <v>638</v>
      </c>
      <c r="H76" t="s">
        <v>619</v>
      </c>
      <c r="J76" s="362">
        <f>J71*J75*J74*12</f>
        <v>1256872337.4129717</v>
      </c>
    </row>
    <row r="78" spans="3:14" ht="12" x14ac:dyDescent="0.2">
      <c r="C78" s="93">
        <f>1+C76</f>
        <v>23</v>
      </c>
      <c r="D78" s="101" t="s">
        <v>642</v>
      </c>
      <c r="H78" s="19" t="s">
        <v>223</v>
      </c>
      <c r="J78" s="371">
        <f>Admin.costs</f>
        <v>1.7500000000000002E-2</v>
      </c>
    </row>
    <row r="79" spans="3:14" x14ac:dyDescent="0.2">
      <c r="C79" s="93">
        <f>1+C78</f>
        <v>24</v>
      </c>
      <c r="D79" s="102" t="s">
        <v>259</v>
      </c>
      <c r="H79" t="s">
        <v>619</v>
      </c>
      <c r="J79" s="362">
        <f>J76+J78*J$45</f>
        <v>1762149561.0739717</v>
      </c>
    </row>
    <row r="81" spans="2:55" ht="12" x14ac:dyDescent="0.2">
      <c r="C81" s="101" t="s">
        <v>643</v>
      </c>
    </row>
    <row r="82" spans="2:55" x14ac:dyDescent="0.2">
      <c r="C82" s="93">
        <f>1+C79</f>
        <v>25</v>
      </c>
      <c r="D82" t="s">
        <v>643</v>
      </c>
      <c r="H82" s="19" t="s">
        <v>223</v>
      </c>
      <c r="J82" s="371">
        <f>Retail.profit</f>
        <v>0.10970000000000001</v>
      </c>
      <c r="K82" s="369">
        <f>SUM(K49,K53,K57,K62,K67)*J82</f>
        <v>2.8179532610695696E-2</v>
      </c>
    </row>
    <row r="84" spans="2:55" ht="12" x14ac:dyDescent="0.2">
      <c r="C84" s="101" t="s">
        <v>644</v>
      </c>
    </row>
    <row r="85" spans="2:55" x14ac:dyDescent="0.2">
      <c r="C85" s="93">
        <f>1+C82</f>
        <v>26</v>
      </c>
      <c r="D85" t="s">
        <v>645</v>
      </c>
      <c r="H85" t="s">
        <v>619</v>
      </c>
      <c r="J85" s="375">
        <f>J42-J43</f>
        <v>1705713177.9514542</v>
      </c>
      <c r="K85" s="369">
        <f>J85/J90</f>
        <v>5.5781093496420818E-2</v>
      </c>
    </row>
    <row r="86" spans="2:55" ht="12" x14ac:dyDescent="0.2">
      <c r="C86" s="93">
        <f>1+C85</f>
        <v>27</v>
      </c>
      <c r="D86" t="s">
        <v>646</v>
      </c>
      <c r="H86" t="s">
        <v>619</v>
      </c>
      <c r="J86" s="368">
        <f>SUM(J49,J53,J57,J62,J67)*(1+J82)+J85</f>
        <v>10422405668.537474</v>
      </c>
      <c r="M86" s="296"/>
      <c r="N86" s="111"/>
      <c r="O86" s="386"/>
    </row>
    <row r="87" spans="2:55" x14ac:dyDescent="0.2">
      <c r="N87" s="111"/>
      <c r="O87" s="103"/>
    </row>
    <row r="88" spans="2:55" x14ac:dyDescent="0.2">
      <c r="N88" s="103"/>
      <c r="O88" s="103"/>
    </row>
    <row r="89" spans="2:55" ht="12" x14ac:dyDescent="0.2">
      <c r="C89" s="101" t="s">
        <v>647</v>
      </c>
    </row>
    <row r="90" spans="2:55" x14ac:dyDescent="0.2">
      <c r="C90" s="93">
        <f>1+C86</f>
        <v>28</v>
      </c>
      <c r="D90" t="s">
        <v>648</v>
      </c>
      <c r="H90" t="s">
        <v>619</v>
      </c>
      <c r="J90" s="362">
        <f>J40+J42</f>
        <v>30578697387.151451</v>
      </c>
    </row>
    <row r="91" spans="2:55" x14ac:dyDescent="0.2">
      <c r="C91" s="93">
        <f>1+C90</f>
        <v>29</v>
      </c>
      <c r="D91" t="s">
        <v>649</v>
      </c>
      <c r="H91" t="s">
        <v>619</v>
      </c>
      <c r="J91" s="361">
        <f>J86</f>
        <v>10422405668.537474</v>
      </c>
    </row>
    <row r="92" spans="2:55" x14ac:dyDescent="0.2">
      <c r="C92" s="93">
        <f>1+C91</f>
        <v>30</v>
      </c>
      <c r="D92" t="s">
        <v>650</v>
      </c>
      <c r="H92" t="s">
        <v>619</v>
      </c>
      <c r="J92" s="362">
        <f>J90-J91</f>
        <v>20156291718.613976</v>
      </c>
    </row>
    <row r="94" spans="2:55" ht="12" x14ac:dyDescent="0.2">
      <c r="B94" s="99">
        <v>1.4</v>
      </c>
      <c r="C94" s="99" t="s">
        <v>443</v>
      </c>
      <c r="D94" s="99"/>
      <c r="E94" s="99"/>
      <c r="F94" s="99"/>
      <c r="G94" s="99"/>
      <c r="H94" s="76"/>
      <c r="I94" s="76"/>
      <c r="J94" s="76"/>
      <c r="K94" s="76"/>
      <c r="L94" s="76"/>
      <c r="M94" s="76"/>
      <c r="N94" s="76"/>
      <c r="O94" s="76"/>
      <c r="P94" s="76"/>
      <c r="Q94" s="76"/>
      <c r="R94" s="76"/>
      <c r="S94" s="76"/>
      <c r="T94" s="76"/>
      <c r="U94" s="76"/>
      <c r="V94" s="76"/>
      <c r="W94" s="76"/>
      <c r="X94" s="76"/>
      <c r="Y94" s="76"/>
      <c r="Z94" s="76"/>
      <c r="AA94" s="76"/>
      <c r="AB94" s="76"/>
      <c r="AC94" s="76"/>
      <c r="AD94" s="76"/>
      <c r="AE94" s="76"/>
      <c r="AF94" s="76"/>
      <c r="AG94" s="76"/>
      <c r="AH94" s="76"/>
      <c r="AI94" s="76"/>
      <c r="AJ94" s="76"/>
      <c r="AK94" s="76"/>
      <c r="AL94" s="76"/>
      <c r="AM94" s="76"/>
      <c r="AN94" s="76"/>
      <c r="AO94" s="76"/>
      <c r="AP94" s="76"/>
      <c r="AQ94" s="76"/>
      <c r="AR94" s="76"/>
      <c r="AS94" s="76"/>
      <c r="AT94" s="76"/>
      <c r="AU94" s="76"/>
      <c r="AV94" s="76"/>
      <c r="AW94" s="76"/>
      <c r="AX94" s="76"/>
      <c r="AY94" s="76"/>
      <c r="AZ94" s="76"/>
      <c r="BA94" s="76"/>
      <c r="BB94" s="76"/>
      <c r="BC94" s="76"/>
    </row>
    <row r="96" spans="2:55" ht="12" x14ac:dyDescent="0.2">
      <c r="C96" s="101" t="str">
        <f>C94</f>
        <v>Estimación de costos evitados equipos terminales</v>
      </c>
    </row>
    <row r="97" spans="1:55" x14ac:dyDescent="0.2">
      <c r="C97" s="93">
        <f>1+C92</f>
        <v>31</v>
      </c>
      <c r="D97" s="102" t="s">
        <v>668</v>
      </c>
      <c r="H97" t="s">
        <v>619</v>
      </c>
      <c r="J97" s="361">
        <f>'Cálculos auxiliares'!I241</f>
        <v>62759033.324204624</v>
      </c>
      <c r="K97" s="369">
        <f>J97/($J$42*'Cálculos auxiliares'!F241)</f>
        <v>1.6876879437989774E-2</v>
      </c>
    </row>
    <row r="98" spans="1:55" x14ac:dyDescent="0.2">
      <c r="C98" s="176">
        <f>1+C97</f>
        <v>32</v>
      </c>
      <c r="D98" s="102" t="s">
        <v>669</v>
      </c>
      <c r="H98" t="s">
        <v>619</v>
      </c>
      <c r="J98" s="361">
        <f>'Cálculos auxiliares'!I242</f>
        <v>40319927.262517892</v>
      </c>
      <c r="K98" s="369">
        <f>J98/($J$42*'Cálculos auxiliares'!F242)</f>
        <v>3.3774585454844665E-2</v>
      </c>
    </row>
    <row r="99" spans="1:55" x14ac:dyDescent="0.2">
      <c r="C99" s="176">
        <f>1+C98</f>
        <v>33</v>
      </c>
      <c r="D99" s="102" t="s">
        <v>670</v>
      </c>
      <c r="H99" t="s">
        <v>619</v>
      </c>
      <c r="J99" s="361">
        <f>'Cálculos auxiliares'!I243</f>
        <v>1208407289.7391136</v>
      </c>
      <c r="K99" s="369">
        <f>J99/($J$42*'Cálculos auxiliares'!F243)</f>
        <v>4.7081544256778823E-2</v>
      </c>
    </row>
    <row r="102" spans="1:55" ht="12" x14ac:dyDescent="0.2">
      <c r="B102" s="99">
        <v>1.4</v>
      </c>
      <c r="C102" s="99" t="s">
        <v>622</v>
      </c>
      <c r="D102" s="99"/>
      <c r="E102" s="99"/>
      <c r="F102" s="99"/>
      <c r="G102" s="99"/>
      <c r="H102" s="76"/>
      <c r="I102" s="76"/>
      <c r="J102" s="76"/>
      <c r="K102" s="76"/>
      <c r="L102" s="76"/>
      <c r="M102" s="76"/>
      <c r="N102" s="76"/>
      <c r="O102" s="76"/>
      <c r="P102" s="76"/>
      <c r="Q102" s="76"/>
      <c r="R102" s="76"/>
      <c r="S102" s="76"/>
      <c r="T102" s="76"/>
      <c r="U102" s="76"/>
      <c r="V102" s="76"/>
      <c r="W102" s="76"/>
      <c r="X102" s="76"/>
      <c r="Y102" s="76"/>
      <c r="Z102" s="76"/>
      <c r="AA102" s="76"/>
      <c r="AB102" s="76"/>
      <c r="AC102" s="76"/>
      <c r="AD102" s="76"/>
      <c r="AE102" s="76"/>
      <c r="AF102" s="76"/>
      <c r="AG102" s="76"/>
      <c r="AH102" s="76"/>
      <c r="AI102" s="76"/>
      <c r="AJ102" s="76"/>
      <c r="AK102" s="76"/>
      <c r="AL102" s="76"/>
      <c r="AM102" s="76"/>
      <c r="AN102" s="76"/>
      <c r="AO102" s="76"/>
      <c r="AP102" s="76"/>
      <c r="AQ102" s="76"/>
      <c r="AR102" s="76"/>
      <c r="AS102" s="76"/>
      <c r="AT102" s="76"/>
      <c r="AU102" s="76"/>
      <c r="AV102" s="76"/>
      <c r="AW102" s="76"/>
      <c r="AX102" s="76"/>
      <c r="AY102" s="76"/>
      <c r="AZ102" s="76"/>
      <c r="BA102" s="76"/>
      <c r="BB102" s="76"/>
      <c r="BC102" s="76"/>
    </row>
    <row r="104" spans="1:55" ht="12" x14ac:dyDescent="0.2">
      <c r="C104" s="101" t="s">
        <v>651</v>
      </c>
      <c r="H104" t="s">
        <v>223</v>
      </c>
      <c r="J104" s="376">
        <f>J91/J90</f>
        <v>0.34083877205694046</v>
      </c>
      <c r="K104" s="82" t="s">
        <v>671</v>
      </c>
      <c r="N104" s="296"/>
    </row>
    <row r="105" spans="1:55" x14ac:dyDescent="0.2">
      <c r="C105" s="93">
        <f>1+C99</f>
        <v>34</v>
      </c>
      <c r="D105" s="102" t="s">
        <v>654</v>
      </c>
      <c r="H105" t="s">
        <v>223</v>
      </c>
      <c r="J105" s="387">
        <f>J85/J90</f>
        <v>5.5781093496420818E-2</v>
      </c>
    </row>
    <row r="106" spans="1:55" x14ac:dyDescent="0.2">
      <c r="C106" s="93">
        <f>1+C105</f>
        <v>35</v>
      </c>
      <c r="D106" s="102" t="s">
        <v>655</v>
      </c>
      <c r="H106" t="s">
        <v>223</v>
      </c>
      <c r="J106" s="387">
        <f>J104-J105</f>
        <v>0.28505767856051967</v>
      </c>
      <c r="K106" s="82" t="s">
        <v>672</v>
      </c>
    </row>
    <row r="108" spans="1:55" ht="12" x14ac:dyDescent="0.2">
      <c r="A108" s="99" t="s">
        <v>358</v>
      </c>
      <c r="B108" s="99" t="s">
        <v>292</v>
      </c>
      <c r="C108" s="76"/>
      <c r="D108" s="76"/>
      <c r="E108" s="76"/>
      <c r="F108" s="76"/>
      <c r="G108" s="76"/>
      <c r="H108" s="76"/>
      <c r="I108" s="76"/>
      <c r="J108" s="76"/>
      <c r="K108" s="76"/>
      <c r="L108" s="76"/>
      <c r="M108" s="76"/>
      <c r="N108" s="76"/>
      <c r="O108" s="76"/>
      <c r="P108" s="76"/>
      <c r="Q108" s="76"/>
      <c r="R108" s="76"/>
      <c r="S108" s="76"/>
      <c r="T108" s="76"/>
      <c r="U108" s="76"/>
      <c r="V108" s="76"/>
      <c r="W108" s="76"/>
      <c r="X108" s="76"/>
      <c r="Y108" s="76"/>
      <c r="Z108" s="76"/>
      <c r="AA108" s="76"/>
      <c r="AB108" s="76"/>
      <c r="AC108" s="76"/>
      <c r="AD108" s="76"/>
      <c r="AE108" s="76"/>
      <c r="AF108" s="76"/>
      <c r="AG108" s="76"/>
      <c r="AH108" s="76"/>
      <c r="AI108" s="76"/>
      <c r="AJ108" s="76"/>
      <c r="AK108" s="76"/>
      <c r="AL108" s="76"/>
      <c r="AM108" s="76"/>
      <c r="AN108" s="76"/>
      <c r="AO108" s="76"/>
      <c r="AP108" s="76"/>
      <c r="AQ108" s="76"/>
      <c r="AR108" s="76"/>
      <c r="AS108" s="76"/>
      <c r="AT108" s="76"/>
      <c r="AU108" s="76"/>
      <c r="AV108" s="76"/>
      <c r="AW108" s="76"/>
      <c r="AX108" s="76"/>
      <c r="AY108" s="76"/>
      <c r="AZ108" s="76"/>
      <c r="BA108" s="76"/>
    </row>
  </sheetData>
  <pageMargins left="0.7" right="0.7" top="0.75" bottom="0.75" header="0.3" footer="0.3"/>
  <pageSetup orientation="portrait" r:id="rId1"/>
  <ignoredErrors>
    <ignoredError sqref="J8:J11 J14:J19 J23:J28 J32:J36 J42:J43 J51 J55 J60 J65 J68 J70:J71 J76 J79 J90:J93 J105:J106" unlockedFormula="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2B163-ACF4-46A6-8023-61627633EBE2}">
  <sheetPr codeName="Hoja11">
    <tabColor rgb="FF92D050"/>
  </sheetPr>
  <dimension ref="A1:BA152"/>
  <sheetViews>
    <sheetView showGridLines="0" zoomScale="130" zoomScaleNormal="130" workbookViewId="0">
      <pane ySplit="1" topLeftCell="A2" activePane="bottomLeft" state="frozen"/>
      <selection activeCell="H120" sqref="H120"/>
      <selection pane="bottomLeft" activeCell="E19" sqref="E19"/>
    </sheetView>
  </sheetViews>
  <sheetFormatPr baseColWidth="10" defaultColWidth="11.375" defaultRowHeight="11.4" x14ac:dyDescent="0.2"/>
  <cols>
    <col min="1" max="1" width="9.125" customWidth="1"/>
    <col min="2" max="2" width="32.375" customWidth="1"/>
    <col min="3" max="3" width="13.375" customWidth="1"/>
    <col min="4" max="4" width="4.375" customWidth="1"/>
    <col min="5" max="5" width="63.75" customWidth="1"/>
    <col min="6" max="6" width="28.75" customWidth="1"/>
    <col min="7" max="7" width="22.875" customWidth="1"/>
    <col min="8" max="8" width="11.125" customWidth="1"/>
    <col min="9" max="9" width="12.125" customWidth="1"/>
    <col min="10" max="11" width="11.375" customWidth="1"/>
    <col min="12" max="12" width="13.75" customWidth="1"/>
    <col min="13" max="13" width="19.375" bestFit="1" customWidth="1"/>
    <col min="14" max="14" width="21.375" bestFit="1" customWidth="1"/>
    <col min="15" max="15" width="12" bestFit="1" customWidth="1"/>
    <col min="16" max="16" width="17" customWidth="1"/>
    <col min="17" max="17" width="14" bestFit="1" customWidth="1"/>
    <col min="18" max="18" width="20.875" bestFit="1" customWidth="1"/>
    <col min="19" max="19" width="21.375" bestFit="1" customWidth="1"/>
    <col min="24" max="24" width="12.125" bestFit="1" customWidth="1"/>
  </cols>
  <sheetData>
    <row r="1" spans="1:53" s="87" customFormat="1" ht="33.75" customHeight="1" x14ac:dyDescent="0.2">
      <c r="C1" s="87" t="s">
        <v>673</v>
      </c>
    </row>
    <row r="2" spans="1:53" ht="12" x14ac:dyDescent="0.2">
      <c r="A2" s="99">
        <v>1</v>
      </c>
      <c r="B2" s="99" t="s">
        <v>674</v>
      </c>
      <c r="C2" s="76"/>
      <c r="D2" s="76"/>
      <c r="E2" s="76"/>
      <c r="F2" s="76"/>
      <c r="G2" s="76"/>
      <c r="H2" s="76"/>
      <c r="I2" s="76"/>
      <c r="J2" s="76"/>
      <c r="K2" s="76"/>
      <c r="L2" s="76"/>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row>
    <row r="3" spans="1:53" ht="12" x14ac:dyDescent="0.2">
      <c r="B3" s="577" t="s">
        <v>1075</v>
      </c>
      <c r="C3" s="577"/>
    </row>
    <row r="4" spans="1:53" ht="24" x14ac:dyDescent="0.2">
      <c r="B4" s="578" t="s">
        <v>1077</v>
      </c>
      <c r="C4" s="389" t="s">
        <v>1076</v>
      </c>
    </row>
    <row r="5" spans="1:53" ht="12" x14ac:dyDescent="0.2">
      <c r="B5" s="582">
        <v>0.28514206494245264</v>
      </c>
      <c r="C5" s="376">
        <f ca="1">INDIRECT(D5)</f>
        <v>0.27722611003056502</v>
      </c>
      <c r="D5" s="82" t="s">
        <v>652</v>
      </c>
      <c r="F5" s="388"/>
      <c r="G5" s="388"/>
      <c r="H5" s="388"/>
      <c r="I5" s="388"/>
    </row>
    <row r="6" spans="1:53" ht="12" x14ac:dyDescent="0.2">
      <c r="F6" s="388"/>
      <c r="G6" s="388"/>
      <c r="H6" s="388"/>
      <c r="I6" s="388"/>
    </row>
    <row r="7" spans="1:53" ht="12" x14ac:dyDescent="0.2">
      <c r="B7" s="582">
        <v>0.3660478624145958</v>
      </c>
      <c r="C7" s="376">
        <f ca="1">INDIRECT(D7)</f>
        <v>0.36435576285227905</v>
      </c>
      <c r="D7" s="82" t="s">
        <v>653</v>
      </c>
      <c r="F7" s="82"/>
    </row>
    <row r="9" spans="1:53" ht="12" x14ac:dyDescent="0.2">
      <c r="E9" s="101" t="s">
        <v>675</v>
      </c>
      <c r="L9" s="577" t="s">
        <v>1075</v>
      </c>
      <c r="M9" s="577"/>
    </row>
    <row r="10" spans="1:53" ht="24" customHeight="1" x14ac:dyDescent="0.2">
      <c r="F10" s="100">
        <v>4</v>
      </c>
      <c r="G10" s="100">
        <v>7</v>
      </c>
      <c r="L10" s="578" t="s">
        <v>1077</v>
      </c>
      <c r="M10" s="389" t="s">
        <v>1076</v>
      </c>
    </row>
    <row r="11" spans="1:53" ht="36" x14ac:dyDescent="0.2">
      <c r="E11" s="43" t="s">
        <v>309</v>
      </c>
      <c r="F11" s="43" t="s">
        <v>213</v>
      </c>
      <c r="G11" s="43" t="str">
        <f>"Precio minorista "&amp;Year.selected
&amp;" Sin impuestos"</f>
        <v>Precio minorista 2025 Sin impuestos</v>
      </c>
      <c r="H11" s="43"/>
      <c r="I11" s="389" t="s">
        <v>604</v>
      </c>
      <c r="J11" s="389" t="s">
        <v>605</v>
      </c>
      <c r="K11" s="43"/>
      <c r="L11" s="43"/>
      <c r="M11" s="43" t="s">
        <v>676</v>
      </c>
      <c r="N11" s="43" t="s">
        <v>215</v>
      </c>
      <c r="O11" s="43"/>
      <c r="P11" s="43"/>
      <c r="Q11" s="43"/>
    </row>
    <row r="12" spans="1:53" ht="12" x14ac:dyDescent="0.2">
      <c r="D12" s="100">
        <v>1</v>
      </c>
      <c r="E12" s="101" t="s">
        <v>165</v>
      </c>
      <c r="F12" s="390" t="str">
        <f>VLOOKUP($E12,'Planes y paquetes'!$C$197:$J$198,F$10,FALSE)</f>
        <v>Renta Mensual</v>
      </c>
      <c r="G12" s="390">
        <f>VLOOKUP($E12,'Planes y paquetes'!$C$197:$J$198,G$10,FALSE)</f>
        <v>156.55000000000001</v>
      </c>
      <c r="I12" s="391">
        <f>INDEX(vector.implicit.prices.line.rental.before.discount,MATCH($E12,vector.plans.names,0))</f>
        <v>156.55000000000001</v>
      </c>
      <c r="J12" s="391">
        <f>INDEX(vector.implicit.prices.voice.before.discount,MATCH($E12,vector.plans.names,0))</f>
        <v>0</v>
      </c>
      <c r="L12" s="583">
        <v>111.91100973325905</v>
      </c>
      <c r="M12" s="224">
        <f>I12*(1-Retail.minus.line.rental)</f>
        <v>113.15025247471505</v>
      </c>
    </row>
    <row r="13" spans="1:53" ht="12.6" thickBot="1" x14ac:dyDescent="0.25">
      <c r="D13" s="100">
        <v>2</v>
      </c>
      <c r="E13" s="101" t="s">
        <v>168</v>
      </c>
      <c r="F13" s="390" t="str">
        <f>VLOOKUP($E13,'Planes y paquetes'!$C$197:$J$198,F$10,FALSE)</f>
        <v>Renta Mensual</v>
      </c>
      <c r="G13" s="390">
        <f>VLOOKUP($E13,'Planes y paquetes'!$C$197:$J$198,G$10,FALSE)</f>
        <v>198</v>
      </c>
      <c r="I13" s="391">
        <f>INDEX(vector.implicit.prices.line.rental.before.discount,MATCH($E13,vector.plans.names,0))</f>
        <v>198</v>
      </c>
      <c r="J13" s="391">
        <f>INDEX(vector.implicit.prices.voice.before.discount,MATCH($E13,vector.plans.names,0))</f>
        <v>0</v>
      </c>
      <c r="L13" s="583">
        <v>141.54187114139438</v>
      </c>
      <c r="M13" s="224">
        <f>I13*(1-Retail.minus.line.rental)</f>
        <v>143.10923021394811</v>
      </c>
    </row>
    <row r="14" spans="1:53" x14ac:dyDescent="0.2">
      <c r="E14" s="53"/>
      <c r="F14" s="53"/>
      <c r="G14" s="53"/>
      <c r="H14" s="53"/>
      <c r="I14" s="53"/>
      <c r="J14" s="53"/>
      <c r="K14" s="53"/>
      <c r="L14" s="53"/>
      <c r="M14" s="53"/>
      <c r="N14" s="53"/>
      <c r="O14" s="53"/>
      <c r="P14" s="53"/>
      <c r="Q14" s="53"/>
    </row>
    <row r="15" spans="1:53" ht="12" x14ac:dyDescent="0.2">
      <c r="B15" s="392"/>
      <c r="E15" s="101" t="s">
        <v>678</v>
      </c>
      <c r="L15" s="577" t="s">
        <v>1075</v>
      </c>
      <c r="M15" s="577"/>
    </row>
    <row r="16" spans="1:53" ht="24" x14ac:dyDescent="0.2">
      <c r="B16" s="392"/>
      <c r="F16" s="100">
        <v>4</v>
      </c>
      <c r="G16" s="100">
        <v>7</v>
      </c>
      <c r="L16" s="578" t="s">
        <v>1077</v>
      </c>
      <c r="M16" s="389" t="s">
        <v>1076</v>
      </c>
    </row>
    <row r="17" spans="2:17" ht="36" x14ac:dyDescent="0.2">
      <c r="B17" s="392"/>
      <c r="E17" s="43" t="s">
        <v>309</v>
      </c>
      <c r="F17" s="43" t="s">
        <v>213</v>
      </c>
      <c r="G17" s="43" t="str">
        <f>"Precio minorista "&amp;Year.selected
&amp;" Sin impuestos"</f>
        <v>Precio minorista 2025 Sin impuestos</v>
      </c>
      <c r="H17" s="43"/>
      <c r="I17" s="43"/>
      <c r="J17" s="43"/>
      <c r="K17" s="43"/>
      <c r="L17" s="43"/>
      <c r="M17" s="43" t="s">
        <v>676</v>
      </c>
      <c r="N17" s="43" t="s">
        <v>215</v>
      </c>
      <c r="O17" s="43"/>
      <c r="P17" s="43"/>
      <c r="Q17" s="43"/>
    </row>
    <row r="18" spans="2:17" ht="12" x14ac:dyDescent="0.2">
      <c r="D18" s="93">
        <f>D13+1</f>
        <v>3</v>
      </c>
      <c r="E18" s="95" t="s">
        <v>679</v>
      </c>
      <c r="F18" s="333" t="s">
        <v>680</v>
      </c>
      <c r="G18" s="390">
        <v>1.48</v>
      </c>
      <c r="L18" s="583">
        <v>0.93824916362639832</v>
      </c>
      <c r="M18" s="393">
        <f>G18*(1-Retail.minus.additional.calls)</f>
        <v>0.94075347097862694</v>
      </c>
      <c r="N18" t="s">
        <v>681</v>
      </c>
    </row>
    <row r="19" spans="2:17" ht="12" x14ac:dyDescent="0.2">
      <c r="D19" s="93">
        <f>D18+1</f>
        <v>4</v>
      </c>
      <c r="E19" s="95" t="s">
        <v>682</v>
      </c>
      <c r="F19" s="390" t="str">
        <f>VLOOKUP($E19,'Planes y paquetes'!$C$191:$J$273,F$16,FALSE)</f>
        <v>Cobro por minuto</v>
      </c>
      <c r="G19" s="390">
        <f>VLOOKUP($E19,'Planes y paquetes'!$C$191:$J$273,G$16,FALSE)</f>
        <v>0.34200000000000003</v>
      </c>
      <c r="L19" s="583">
        <v>0.21681163105420828</v>
      </c>
      <c r="M19" s="393">
        <f>G19*(1-Retail.minus.additional.calls)</f>
        <v>0.21739032910452055</v>
      </c>
    </row>
    <row r="20" spans="2:17" ht="12" x14ac:dyDescent="0.2">
      <c r="D20" s="93">
        <f t="shared" ref="D20:D62" si="0">D19+1</f>
        <v>5</v>
      </c>
      <c r="E20" s="95" t="s">
        <v>683</v>
      </c>
      <c r="F20" s="333" t="s">
        <v>680</v>
      </c>
      <c r="G20" s="394" t="s">
        <v>684</v>
      </c>
      <c r="L20" s="583" t="s">
        <v>684</v>
      </c>
      <c r="M20" s="394" t="s">
        <v>684</v>
      </c>
      <c r="N20" t="s">
        <v>685</v>
      </c>
    </row>
    <row r="21" spans="2:17" ht="12" x14ac:dyDescent="0.2">
      <c r="D21" s="93">
        <f t="shared" si="0"/>
        <v>6</v>
      </c>
      <c r="E21" s="95" t="s">
        <v>686</v>
      </c>
      <c r="F21" s="333" t="s">
        <v>680</v>
      </c>
      <c r="G21" s="390">
        <v>5.3</v>
      </c>
      <c r="L21" s="583">
        <v>3.3599463292026424</v>
      </c>
      <c r="M21" s="224">
        <f>G21*(1-Retail.minus.additional.calls)</f>
        <v>3.3689144568829206</v>
      </c>
      <c r="N21" t="s">
        <v>687</v>
      </c>
    </row>
    <row r="22" spans="2:17" ht="12" x14ac:dyDescent="0.2">
      <c r="D22" s="93">
        <f t="shared" si="0"/>
        <v>7</v>
      </c>
      <c r="E22" s="95" t="s">
        <v>688</v>
      </c>
      <c r="F22" s="333" t="s">
        <v>680</v>
      </c>
      <c r="G22" s="394">
        <v>0</v>
      </c>
      <c r="L22" s="583">
        <v>0</v>
      </c>
      <c r="M22" s="224">
        <v>0</v>
      </c>
      <c r="N22" t="s">
        <v>689</v>
      </c>
    </row>
    <row r="23" spans="2:17" ht="12" x14ac:dyDescent="0.2">
      <c r="D23" s="93">
        <f t="shared" si="0"/>
        <v>8</v>
      </c>
      <c r="E23" s="95" t="s">
        <v>690</v>
      </c>
      <c r="F23" s="333" t="s">
        <v>680</v>
      </c>
      <c r="G23" s="394" t="s">
        <v>684</v>
      </c>
      <c r="L23" s="583" t="s">
        <v>684</v>
      </c>
      <c r="M23" s="394" t="s">
        <v>684</v>
      </c>
      <c r="N23" t="s">
        <v>689</v>
      </c>
    </row>
    <row r="24" spans="2:17" ht="12" x14ac:dyDescent="0.2">
      <c r="B24" s="392"/>
      <c r="D24" s="93">
        <f t="shared" si="0"/>
        <v>9</v>
      </c>
      <c r="E24" s="95" t="s">
        <v>691</v>
      </c>
      <c r="F24" s="390" t="str">
        <f>VLOOKUP($E24,'Planes y paquetes'!$C$191:$J$273,F$16,FALSE)</f>
        <v>Renta Mensual</v>
      </c>
      <c r="G24" s="390">
        <f>VLOOKUP($E24,'Planes y paquetes'!$C$191:$J$273,G$16,FALSE)</f>
        <v>82.86</v>
      </c>
      <c r="L24" s="583">
        <v>52.529274120326598</v>
      </c>
      <c r="M24" s="224">
        <f>G24*(1-Retail.minus.additional.calls)</f>
        <v>52.66948149006015</v>
      </c>
    </row>
    <row r="25" spans="2:17" ht="12" x14ac:dyDescent="0.2">
      <c r="B25" s="392"/>
      <c r="D25" s="93">
        <f t="shared" si="0"/>
        <v>10</v>
      </c>
      <c r="E25" s="95" t="s">
        <v>692</v>
      </c>
      <c r="F25" s="390" t="str">
        <f>VLOOKUP($E25,'Planes y paquetes'!$C$191:$J$273,F$16,FALSE)</f>
        <v>Renta Mensual</v>
      </c>
      <c r="G25" s="390">
        <f>VLOOKUP($E25,'Planes y paquetes'!$C$191:$J$273,G$16,FALSE)</f>
        <v>82.86</v>
      </c>
      <c r="L25" s="583">
        <v>52.529274120326598</v>
      </c>
      <c r="M25" s="224">
        <f t="shared" ref="M25:M46" si="1">G25*(1-Retail.minus.additional.calls)</f>
        <v>52.66948149006015</v>
      </c>
    </row>
    <row r="26" spans="2:17" ht="12" x14ac:dyDescent="0.2">
      <c r="B26" s="392"/>
      <c r="D26" s="93">
        <f t="shared" si="0"/>
        <v>11</v>
      </c>
      <c r="E26" s="95" t="s">
        <v>693</v>
      </c>
      <c r="F26" s="390" t="str">
        <f>VLOOKUP($E26,'Planes y paquetes'!$C$191:$J$273,F$16,FALSE)</f>
        <v>Cobro por minuto</v>
      </c>
      <c r="G26" s="390">
        <f>VLOOKUP($E26,'Planes y paquetes'!$C$191:$J$273,G$16,FALSE)</f>
        <v>9.42</v>
      </c>
      <c r="L26" s="583">
        <v>5.9718291360545077</v>
      </c>
      <c r="M26" s="224">
        <f t="shared" si="1"/>
        <v>5.9877687139315308</v>
      </c>
    </row>
    <row r="27" spans="2:17" ht="12" x14ac:dyDescent="0.2">
      <c r="B27" s="392"/>
      <c r="D27" s="93">
        <f t="shared" si="0"/>
        <v>12</v>
      </c>
      <c r="E27" s="95" t="s">
        <v>694</v>
      </c>
      <c r="F27" s="390" t="str">
        <f>VLOOKUP($E27,'Planes y paquetes'!$C$191:$J$273,F$16,FALSE)</f>
        <v>Cobro por minuto</v>
      </c>
      <c r="G27" s="390">
        <f>VLOOKUP($E27,'Planes y paquetes'!$C$191:$J$273,G$16,FALSE)</f>
        <v>6.93</v>
      </c>
      <c r="L27" s="583">
        <v>4.3932883134668517</v>
      </c>
      <c r="M27" s="224">
        <f t="shared" si="1"/>
        <v>4.4050145634337055</v>
      </c>
    </row>
    <row r="28" spans="2:17" ht="12" x14ac:dyDescent="0.2">
      <c r="B28" s="392"/>
      <c r="D28" s="93">
        <f t="shared" si="0"/>
        <v>13</v>
      </c>
      <c r="E28" s="95" t="s">
        <v>695</v>
      </c>
      <c r="F28" s="390" t="str">
        <f>VLOOKUP($E28,'Planes y paquetes'!$C$191:$J$273,F$16,FALSE)</f>
        <v>Cobro por minuto</v>
      </c>
      <c r="G28" s="390">
        <f>VLOOKUP($E28,'Planes y paquetes'!$C$191:$J$273,G$16,FALSE)</f>
        <v>8.34</v>
      </c>
      <c r="L28" s="583">
        <v>5.2871608274622712</v>
      </c>
      <c r="M28" s="224">
        <f t="shared" si="1"/>
        <v>5.3012729378119925</v>
      </c>
    </row>
    <row r="29" spans="2:17" ht="12" x14ac:dyDescent="0.2">
      <c r="B29" s="392"/>
      <c r="D29" s="93">
        <f t="shared" si="0"/>
        <v>14</v>
      </c>
      <c r="E29" s="95" t="s">
        <v>696</v>
      </c>
      <c r="F29" s="390" t="str">
        <f>VLOOKUP($E29,'Planes y paquetes'!$C$191:$J$273,F$16,FALSE)</f>
        <v>Cobro por minuto</v>
      </c>
      <c r="G29" s="390">
        <f>VLOOKUP($E29,'Planes y paquetes'!$C$191:$J$273,G$16,FALSE)</f>
        <v>6.29</v>
      </c>
      <c r="L29" s="583">
        <v>3.9875589454121929</v>
      </c>
      <c r="M29" s="224">
        <f t="shared" si="1"/>
        <v>3.9982022516591647</v>
      </c>
    </row>
    <row r="30" spans="2:17" ht="12" x14ac:dyDescent="0.2">
      <c r="B30" s="392"/>
      <c r="D30" s="93">
        <f t="shared" si="0"/>
        <v>15</v>
      </c>
      <c r="E30" s="95" t="s">
        <v>697</v>
      </c>
      <c r="F30" s="390" t="str">
        <f>VLOOKUP($E30,'Planes y paquetes'!$C$191:$J$273,F$16,FALSE)</f>
        <v>Cobro por minuto</v>
      </c>
      <c r="G30" s="390">
        <f>VLOOKUP($E30,'Planes y paquetes'!$C$191:$J$273,G$16,FALSE)</f>
        <v>13.09</v>
      </c>
      <c r="L30" s="583">
        <v>8.2984334809929408</v>
      </c>
      <c r="M30" s="224">
        <f t="shared" si="1"/>
        <v>8.3205830642636656</v>
      </c>
    </row>
    <row r="31" spans="2:17" ht="12" x14ac:dyDescent="0.2">
      <c r="B31" s="392"/>
      <c r="D31" s="93">
        <f t="shared" si="0"/>
        <v>16</v>
      </c>
      <c r="E31" s="95" t="s">
        <v>698</v>
      </c>
      <c r="F31" s="390" t="str">
        <f>VLOOKUP($E31,'Planes y paquetes'!$C$191:$J$273,F$16,FALSE)</f>
        <v>Cobro por minuto</v>
      </c>
      <c r="G31" s="390">
        <f>VLOOKUP($E31,'Planes y paquetes'!$C$191:$J$273,G$16,FALSE)</f>
        <v>14.83</v>
      </c>
      <c r="L31" s="583">
        <v>9.4015102003915452</v>
      </c>
      <c r="M31" s="224">
        <f t="shared" si="1"/>
        <v>9.4266040369007005</v>
      </c>
    </row>
    <row r="32" spans="2:17" ht="12" x14ac:dyDescent="0.2">
      <c r="B32" s="392"/>
      <c r="D32" s="93">
        <f t="shared" si="0"/>
        <v>17</v>
      </c>
      <c r="E32" s="95" t="s">
        <v>699</v>
      </c>
      <c r="F32" s="390" t="str">
        <f>VLOOKUP($E32,'Planes y paquetes'!$C$191:$J$273,F$16,FALSE)</f>
        <v>Cobro por minuto</v>
      </c>
      <c r="G32" s="390">
        <f>VLOOKUP($E32,'Planes y paquetes'!$C$191:$J$273,G$16,FALSE)</f>
        <v>13.64</v>
      </c>
      <c r="L32" s="583">
        <v>8.647107156664914</v>
      </c>
      <c r="M32" s="224">
        <f t="shared" si="1"/>
        <v>8.6701873946949135</v>
      </c>
    </row>
    <row r="33" spans="2:13" ht="12" x14ac:dyDescent="0.2">
      <c r="B33" s="392"/>
      <c r="D33" s="93">
        <f t="shared" si="0"/>
        <v>18</v>
      </c>
      <c r="E33" s="95" t="s">
        <v>700</v>
      </c>
      <c r="F33" s="390" t="str">
        <f>VLOOKUP($E33,'Planes y paquetes'!$C$191:$J$273,F$16,FALSE)</f>
        <v>Cobro por minuto</v>
      </c>
      <c r="G33" s="390">
        <f>VLOOKUP($E33,'Planes y paquetes'!$C$191:$J$273,G$16,FALSE)</f>
        <v>2</v>
      </c>
      <c r="L33" s="583">
        <v>1.2679042751708085</v>
      </c>
      <c r="M33" s="224">
        <f t="shared" si="1"/>
        <v>1.2712884742954418</v>
      </c>
    </row>
    <row r="34" spans="2:13" ht="12" x14ac:dyDescent="0.2">
      <c r="B34" s="392"/>
      <c r="D34" s="93">
        <f t="shared" si="0"/>
        <v>19</v>
      </c>
      <c r="E34" s="95" t="s">
        <v>701</v>
      </c>
      <c r="F34" s="390" t="str">
        <f>VLOOKUP($E34,'Planes y paquetes'!$C$191:$J$273,F$16,FALSE)</f>
        <v>Cobro por segundo</v>
      </c>
      <c r="G34" s="390">
        <f>VLOOKUP($E34,'Planes y paquetes'!$C$191:$J$273,G$16,FALSE)</f>
        <v>0.14000000000000001</v>
      </c>
      <c r="L34" s="583">
        <v>8.8753299261956603E-2</v>
      </c>
      <c r="M34" s="224">
        <f t="shared" si="1"/>
        <v>8.8990193200680939E-2</v>
      </c>
    </row>
    <row r="35" spans="2:13" ht="12" x14ac:dyDescent="0.2">
      <c r="B35" s="392"/>
      <c r="D35" s="93">
        <f t="shared" si="0"/>
        <v>20</v>
      </c>
      <c r="E35" s="95" t="s">
        <v>702</v>
      </c>
      <c r="F35" s="390" t="str">
        <f>VLOOKUP($E35,'Planes y paquetes'!$C$191:$J$273,F$16,FALSE)</f>
        <v>Cobro por segundo</v>
      </c>
      <c r="G35" s="390">
        <f>VLOOKUP($E35,'Planes y paquetes'!$C$191:$J$273,G$16,FALSE)</f>
        <v>0.16</v>
      </c>
      <c r="L35" s="583">
        <v>0.10143234201366469</v>
      </c>
      <c r="M35" s="224">
        <f t="shared" si="1"/>
        <v>0.10170307794363534</v>
      </c>
    </row>
    <row r="36" spans="2:13" ht="12" x14ac:dyDescent="0.2">
      <c r="B36" s="392"/>
      <c r="D36" s="93">
        <f t="shared" si="0"/>
        <v>21</v>
      </c>
      <c r="E36" s="95" t="s">
        <v>703</v>
      </c>
      <c r="F36" s="390" t="str">
        <f>VLOOKUP($E36,'Planes y paquetes'!$C$191:$J$273,F$16,FALSE)</f>
        <v>Cobro por segundo</v>
      </c>
      <c r="G36" s="390">
        <f>VLOOKUP($E36,'Planes y paquetes'!$C$191:$J$273,G$16,FALSE)</f>
        <v>1.2500000000000001E-2</v>
      </c>
      <c r="L36" s="583">
        <v>7.9244017198175538E-3</v>
      </c>
      <c r="M36" s="224">
        <f>G36*(1-Retail.minus.additional.calls)</f>
        <v>7.9455529643465122E-3</v>
      </c>
    </row>
    <row r="37" spans="2:13" ht="12" x14ac:dyDescent="0.2">
      <c r="B37" s="392"/>
      <c r="D37" s="93">
        <f t="shared" si="0"/>
        <v>22</v>
      </c>
      <c r="E37" s="95" t="s">
        <v>704</v>
      </c>
      <c r="F37" s="390" t="str">
        <f>VLOOKUP($E37,'Planes y paquetes'!$C$191:$J$273,F$16,FALSE)</f>
        <v>Cobro por segundo</v>
      </c>
      <c r="G37" s="390">
        <f>VLOOKUP($E37,'Planes y paquetes'!$C$191:$J$273,G$16,FALSE)</f>
        <v>0.04</v>
      </c>
      <c r="L37" s="583">
        <v>2.5358085503416172E-2</v>
      </c>
      <c r="M37" s="224">
        <f>G37*(1-Retail.minus.additional.calls)</f>
        <v>2.5425769485908835E-2</v>
      </c>
    </row>
    <row r="38" spans="2:13" ht="12" x14ac:dyDescent="0.2">
      <c r="B38" s="392"/>
      <c r="D38" s="93">
        <f t="shared" si="0"/>
        <v>23</v>
      </c>
      <c r="E38" s="95" t="s">
        <v>705</v>
      </c>
      <c r="F38" s="390" t="str">
        <f>VLOOKUP($E38,'Planes y paquetes'!$C$191:$J$273,F$16,FALSE)</f>
        <v>Cobro por segundo</v>
      </c>
      <c r="G38" s="390">
        <f>VLOOKUP($E38,'Planes y paquetes'!$C$191:$J$273,G$16,FALSE)</f>
        <v>0.27</v>
      </c>
      <c r="L38" s="583">
        <v>0.17116707714805915</v>
      </c>
      <c r="M38" s="224">
        <f>G38*(1-Retail.minus.additional.calls)</f>
        <v>0.17162394402988465</v>
      </c>
    </row>
    <row r="39" spans="2:13" ht="12" x14ac:dyDescent="0.2">
      <c r="B39" s="392"/>
      <c r="D39" s="93">
        <f t="shared" si="0"/>
        <v>24</v>
      </c>
      <c r="E39" s="95" t="s">
        <v>706</v>
      </c>
      <c r="F39" s="390" t="str">
        <f>VLOOKUP($E39,'Planes y paquetes'!$C$191:$J$273,F$16,FALSE)</f>
        <v>Cobro por segundo</v>
      </c>
      <c r="G39" s="390">
        <f>VLOOKUP($E39,'Planes y paquetes'!$C$191:$J$273,G$16,FALSE)</f>
        <v>0.18</v>
      </c>
      <c r="L39" s="583">
        <v>0.11411138476537276</v>
      </c>
      <c r="M39" s="224">
        <f t="shared" si="1"/>
        <v>0.11441596268658975</v>
      </c>
    </row>
    <row r="40" spans="2:13" ht="12" x14ac:dyDescent="0.2">
      <c r="B40" s="392"/>
      <c r="D40" s="93">
        <f t="shared" si="0"/>
        <v>25</v>
      </c>
      <c r="E40" s="95" t="s">
        <v>707</v>
      </c>
      <c r="F40" s="390" t="str">
        <f>VLOOKUP($E40,'Planes y paquetes'!$C$191:$J$273,F$16,FALSE)</f>
        <v>Cobro por segundo</v>
      </c>
      <c r="G40" s="390">
        <f>VLOOKUP($E40,'Planes y paquetes'!$C$191:$J$273,G$16,FALSE)</f>
        <v>0.12</v>
      </c>
      <c r="L40" s="583">
        <v>7.6074256510248503E-2</v>
      </c>
      <c r="M40" s="224">
        <f>G40*(1-Retail.minus.additional.calls)</f>
        <v>7.6277308457726498E-2</v>
      </c>
    </row>
    <row r="41" spans="2:13" ht="12" x14ac:dyDescent="0.2">
      <c r="B41" s="392"/>
      <c r="D41" s="93">
        <f t="shared" si="0"/>
        <v>26</v>
      </c>
      <c r="E41" s="95" t="s">
        <v>708</v>
      </c>
      <c r="F41" s="390" t="str">
        <f>VLOOKUP($E41,'Planes y paquetes'!$C$191:$J$273,F$16,FALSE)</f>
        <v>Cobro por segundo</v>
      </c>
      <c r="G41" s="390">
        <f>VLOOKUP($E41,'Planes y paquetes'!$C$191:$J$273,G$16,FALSE)</f>
        <v>0.24</v>
      </c>
      <c r="L41" s="583">
        <v>0.15214851302049701</v>
      </c>
      <c r="M41" s="224">
        <f>G41*(1-Retail.minus.additional.calls)</f>
        <v>0.152554616915453</v>
      </c>
    </row>
    <row r="42" spans="2:13" ht="12" x14ac:dyDescent="0.2">
      <c r="B42" s="392"/>
      <c r="D42" s="93">
        <f t="shared" si="0"/>
        <v>27</v>
      </c>
      <c r="E42" s="95" t="s">
        <v>709</v>
      </c>
      <c r="F42" s="390" t="str">
        <f>VLOOKUP($E42,'Planes y paquetes'!$C$191:$J$273,F$16,FALSE)</f>
        <v>Cobro por segundo</v>
      </c>
      <c r="G42" s="390">
        <f>VLOOKUP($E42,'Planes y paquetes'!$C$191:$J$273,G$16,FALSE)</f>
        <v>0.25</v>
      </c>
      <c r="L42" s="583">
        <v>0.15848803439635106</v>
      </c>
      <c r="M42" s="224">
        <f t="shared" si="1"/>
        <v>0.15891105928693022</v>
      </c>
    </row>
    <row r="43" spans="2:13" ht="12" x14ac:dyDescent="0.2">
      <c r="B43" s="392"/>
      <c r="D43" s="93">
        <f t="shared" si="0"/>
        <v>28</v>
      </c>
      <c r="E43" s="95" t="s">
        <v>710</v>
      </c>
      <c r="F43" s="390" t="str">
        <f>VLOOKUP($E43,'Planes y paquetes'!$C$191:$J$273,F$16,FALSE)</f>
        <v>Cobro por llamada</v>
      </c>
      <c r="G43" s="390">
        <f>VLOOKUP($E43,'Planes y paquetes'!$C$191:$J$273,G$16,FALSE)</f>
        <v>1.48</v>
      </c>
      <c r="L43" s="583">
        <v>0.93824916362639832</v>
      </c>
      <c r="M43" s="224">
        <f t="shared" si="1"/>
        <v>0.94075347097862694</v>
      </c>
    </row>
    <row r="44" spans="2:13" ht="12" x14ac:dyDescent="0.2">
      <c r="B44" s="392"/>
      <c r="D44" s="93">
        <f t="shared" si="0"/>
        <v>29</v>
      </c>
      <c r="E44" s="95" t="s">
        <v>711</v>
      </c>
      <c r="F44" s="390" t="str">
        <f>VLOOKUP($E44,'Planes y paquetes'!$C$191:$J$273,F$16,FALSE)</f>
        <v>Cobro por llamada</v>
      </c>
      <c r="G44" s="390">
        <f>VLOOKUP($E44,'Planes y paquetes'!$C$191:$J$273,G$16,FALSE)</f>
        <v>1.48</v>
      </c>
      <c r="L44" s="583">
        <v>0.93824916362639832</v>
      </c>
      <c r="M44" s="224">
        <f t="shared" si="1"/>
        <v>0.94075347097862694</v>
      </c>
    </row>
    <row r="45" spans="2:13" ht="12" x14ac:dyDescent="0.2">
      <c r="B45" s="392"/>
      <c r="D45" s="93">
        <f t="shared" si="0"/>
        <v>30</v>
      </c>
      <c r="E45" s="95" t="s">
        <v>712</v>
      </c>
      <c r="F45" s="390" t="str">
        <f>VLOOKUP($E45,'Planes y paquetes'!$C$191:$J$273,F$16,FALSE)</f>
        <v>Renta Mensual</v>
      </c>
      <c r="G45" s="390">
        <f>VLOOKUP($E45,'Planes y paquetes'!$C$191:$J$273,G$16,FALSE)</f>
        <v>1198</v>
      </c>
      <c r="L45" s="583">
        <v>759.47466082731432</v>
      </c>
      <c r="M45" s="224">
        <f t="shared" si="1"/>
        <v>761.50179610296959</v>
      </c>
    </row>
    <row r="46" spans="2:13" ht="12" x14ac:dyDescent="0.2">
      <c r="B46" s="392"/>
      <c r="D46" s="93">
        <f t="shared" si="0"/>
        <v>31</v>
      </c>
      <c r="E46" s="95" t="s">
        <v>713</v>
      </c>
      <c r="F46" s="390" t="str">
        <f>VLOOKUP($E46,'Planes y paquetes'!$C$191:$J$273,F$16,FALSE)</f>
        <v>Renta Mensual</v>
      </c>
      <c r="G46" s="390">
        <f>VLOOKUP($E46,'Planes y paquetes'!$C$191:$J$273,G$16,FALSE)</f>
        <v>450</v>
      </c>
      <c r="L46" s="583">
        <v>285.2784619134319</v>
      </c>
      <c r="M46" s="224">
        <f t="shared" si="1"/>
        <v>286.03990671647438</v>
      </c>
    </row>
    <row r="47" spans="2:13" ht="12" x14ac:dyDescent="0.2">
      <c r="B47" s="392"/>
      <c r="D47" s="93">
        <f t="shared" si="0"/>
        <v>32</v>
      </c>
      <c r="E47" s="95" t="s">
        <v>714</v>
      </c>
      <c r="F47" s="390" t="str">
        <f>VLOOKUP($E47,'Planes y paquetes'!$C$191:$J$273,F$16,FALSE)</f>
        <v>Renta Mensual</v>
      </c>
      <c r="G47" s="390">
        <f>VLOOKUP($E47,'Planes y paquetes'!$C$191:$J$273,G$16,FALSE)</f>
        <v>798</v>
      </c>
      <c r="L47" s="583">
        <v>505.89380579315258</v>
      </c>
      <c r="M47" s="393">
        <f t="shared" ref="M47:M52" si="2">G47*(1-Retail.minus.additional.calls)</f>
        <v>507.24410124388129</v>
      </c>
    </row>
    <row r="48" spans="2:13" ht="12" x14ac:dyDescent="0.2">
      <c r="B48" s="392"/>
      <c r="D48" s="93">
        <f t="shared" si="0"/>
        <v>33</v>
      </c>
      <c r="E48" s="95" t="s">
        <v>715</v>
      </c>
      <c r="F48" s="390" t="str">
        <f>VLOOKUP($E48,'Planes y paquetes'!$C$191:$J$273,F$16,FALSE)</f>
        <v>Renta Mensual</v>
      </c>
      <c r="G48" s="390">
        <f>VLOOKUP($E48,'Planes y paquetes'!$C$191:$J$273,G$16,FALSE)</f>
        <v>200</v>
      </c>
      <c r="L48" s="583">
        <v>126.79042751708084</v>
      </c>
      <c r="M48" s="393">
        <f t="shared" si="2"/>
        <v>127.12884742954418</v>
      </c>
    </row>
    <row r="49" spans="2:17" ht="12" x14ac:dyDescent="0.2">
      <c r="B49" s="392"/>
      <c r="D49" s="93">
        <f t="shared" si="0"/>
        <v>34</v>
      </c>
      <c r="E49" s="95" t="s">
        <v>716</v>
      </c>
      <c r="F49" s="390" t="str">
        <f>VLOOKUP($E49,'Planes y paquetes'!$C$191:$J$273,F$16,FALSE)</f>
        <v>Renta Mensual</v>
      </c>
      <c r="G49" s="390">
        <f>VLOOKUP($E49,'Planes y paquetes'!$C$191:$J$273,G$16,FALSE)</f>
        <v>500</v>
      </c>
      <c r="L49" s="583">
        <v>316.97606879270211</v>
      </c>
      <c r="M49" s="393">
        <f t="shared" si="2"/>
        <v>317.82211857386045</v>
      </c>
    </row>
    <row r="50" spans="2:17" ht="12" x14ac:dyDescent="0.2">
      <c r="B50" s="392"/>
      <c r="D50" s="93">
        <f t="shared" si="0"/>
        <v>35</v>
      </c>
      <c r="E50" s="95" t="s">
        <v>717</v>
      </c>
      <c r="F50" s="390" t="str">
        <f>VLOOKUP($E50,'Planes y paquetes'!$C$191:$J$273,F$16,FALSE)</f>
        <v>Cobro por minuto</v>
      </c>
      <c r="G50" s="390">
        <f>VLOOKUP($E50,'Planes y paquetes'!$C$191:$J$273,G$16,FALSE)</f>
        <v>4.57</v>
      </c>
      <c r="L50" s="583">
        <v>2.8971612687652977</v>
      </c>
      <c r="M50" s="393">
        <f t="shared" si="2"/>
        <v>2.9048941637650847</v>
      </c>
    </row>
    <row r="51" spans="2:17" ht="12" x14ac:dyDescent="0.2">
      <c r="B51" s="392"/>
      <c r="C51" s="135"/>
      <c r="D51" s="93">
        <f t="shared" si="0"/>
        <v>36</v>
      </c>
      <c r="E51" s="95" t="s">
        <v>718</v>
      </c>
      <c r="F51" s="390" t="str">
        <f>VLOOKUP($E51,'Planes y paquetes'!$C$191:$J$273,F$16,FALSE)</f>
        <v>Cobro por minuto</v>
      </c>
      <c r="G51" s="390">
        <f>VLOOKUP($E51,'Planes y paquetes'!$C$191:$J$273,G$16,FALSE)</f>
        <v>4.57</v>
      </c>
      <c r="L51" s="583">
        <v>2.8971612687652977</v>
      </c>
      <c r="M51" s="393">
        <f t="shared" si="2"/>
        <v>2.9048941637650847</v>
      </c>
    </row>
    <row r="52" spans="2:17" ht="12" x14ac:dyDescent="0.2">
      <c r="B52" s="392"/>
      <c r="C52" s="135"/>
      <c r="D52" s="93">
        <f t="shared" si="0"/>
        <v>37</v>
      </c>
      <c r="E52" s="95" t="s">
        <v>719</v>
      </c>
      <c r="F52" s="390" t="str">
        <f>VLOOKUP($E52,'Planes y paquetes'!$C$191:$J$273,F$16,FALSE)</f>
        <v>Cobro por minuto</v>
      </c>
      <c r="G52" s="390">
        <f>VLOOKUP($E52,'Planes y paquetes'!$C$191:$J$273,G$16,FALSE)</f>
        <v>5.71</v>
      </c>
      <c r="L52" s="583">
        <v>3.6198667056126581</v>
      </c>
      <c r="M52" s="393">
        <f t="shared" si="2"/>
        <v>3.6295285941134861</v>
      </c>
    </row>
    <row r="53" spans="2:17" ht="12" x14ac:dyDescent="0.2">
      <c r="B53" s="392"/>
      <c r="C53" s="135"/>
      <c r="D53" s="93">
        <f t="shared" si="0"/>
        <v>38</v>
      </c>
      <c r="E53" s="95" t="s">
        <v>720</v>
      </c>
      <c r="F53" s="390" t="str">
        <f>VLOOKUP($E53,'Planes y paquetes'!$C$191:$J$273,F$16,FALSE)</f>
        <v>Cobro por minuto</v>
      </c>
      <c r="G53" s="390">
        <f>VLOOKUP($E53,'Planes y paquetes'!$C$191:$J$273,G$16,FALSE)</f>
        <v>8</v>
      </c>
      <c r="L53" s="583">
        <v>5.071617100683234</v>
      </c>
      <c r="M53" s="393">
        <f t="shared" ref="M53:M59" si="3">G53*(1-Retail.minus.additional.calls)</f>
        <v>5.0851538971817671</v>
      </c>
    </row>
    <row r="54" spans="2:17" ht="12" x14ac:dyDescent="0.2">
      <c r="B54" s="392"/>
      <c r="C54" s="135"/>
      <c r="D54" s="93">
        <f t="shared" si="0"/>
        <v>39</v>
      </c>
      <c r="E54" s="95" t="s">
        <v>721</v>
      </c>
      <c r="F54" s="390" t="str">
        <f>VLOOKUP($E54,'Planes y paquetes'!$C$191:$J$273,F$16,FALSE)</f>
        <v>Cobro por minuto</v>
      </c>
      <c r="G54" s="390">
        <f>VLOOKUP($E54,'Planes y paquetes'!$C$191:$J$273,G$16,FALSE)</f>
        <v>9</v>
      </c>
      <c r="L54" s="583">
        <v>5.7055692382686383</v>
      </c>
      <c r="M54" s="393">
        <f t="shared" si="3"/>
        <v>5.7207981343294882</v>
      </c>
    </row>
    <row r="55" spans="2:17" ht="12" x14ac:dyDescent="0.2">
      <c r="B55" s="392"/>
      <c r="C55" s="135"/>
      <c r="D55" s="93">
        <f t="shared" si="0"/>
        <v>40</v>
      </c>
      <c r="E55" s="95" t="s">
        <v>722</v>
      </c>
      <c r="F55" s="390" t="str">
        <f>VLOOKUP($E55,'Planes y paquetes'!$C$191:$J$273,F$16,FALSE)</f>
        <v>Cobro por minuto</v>
      </c>
      <c r="G55" s="390">
        <f>VLOOKUP($E55,'Planes y paquetes'!$C$191:$J$273,G$16,FALSE)</f>
        <v>1.48</v>
      </c>
      <c r="L55" s="583">
        <v>0.93824916362639832</v>
      </c>
      <c r="M55" s="393">
        <f t="shared" si="3"/>
        <v>0.94075347097862694</v>
      </c>
    </row>
    <row r="56" spans="2:17" ht="12" x14ac:dyDescent="0.2">
      <c r="B56" s="392"/>
      <c r="C56" s="135"/>
      <c r="D56" s="93">
        <f t="shared" si="0"/>
        <v>41</v>
      </c>
      <c r="E56" s="95" t="s">
        <v>723</v>
      </c>
      <c r="F56" s="390" t="str">
        <f>VLOOKUP($E56,'Planes y paquetes'!$C$191:$J$273,F$16,FALSE)</f>
        <v>Cobro por minuto</v>
      </c>
      <c r="G56" s="390">
        <f>VLOOKUP($E56,'Planes y paquetes'!$C$191:$J$273,G$16,FALSE)</f>
        <v>10</v>
      </c>
      <c r="L56" s="583">
        <v>6.3395213758540425</v>
      </c>
      <c r="M56" s="393">
        <f t="shared" si="3"/>
        <v>6.3564423714772094</v>
      </c>
    </row>
    <row r="57" spans="2:17" ht="12" x14ac:dyDescent="0.2">
      <c r="B57" s="392"/>
      <c r="C57" s="135"/>
      <c r="D57" s="93">
        <f t="shared" si="0"/>
        <v>42</v>
      </c>
      <c r="E57" s="95" t="s">
        <v>724</v>
      </c>
      <c r="F57" s="390" t="str">
        <f>VLOOKUP($E57,'Planes y paquetes'!$C$191:$J$273,F$16,FALSE)</f>
        <v>Cobro por minuto</v>
      </c>
      <c r="G57" s="390">
        <f>VLOOKUP($E57,'Planes y paquetes'!$C$191:$J$273,G$16,FALSE)</f>
        <v>4</v>
      </c>
      <c r="L57" s="583">
        <v>2.535808550341617</v>
      </c>
      <c r="M57" s="393">
        <f t="shared" si="3"/>
        <v>2.5425769485908836</v>
      </c>
    </row>
    <row r="58" spans="2:17" ht="12" x14ac:dyDescent="0.2">
      <c r="B58" s="392"/>
      <c r="C58" s="135"/>
      <c r="D58" s="93">
        <f t="shared" si="0"/>
        <v>43</v>
      </c>
      <c r="E58" s="95" t="s">
        <v>365</v>
      </c>
      <c r="F58" s="395" t="s">
        <v>725</v>
      </c>
      <c r="G58" s="390">
        <v>20</v>
      </c>
      <c r="L58" s="583">
        <v>12.679042751708085</v>
      </c>
      <c r="M58" s="393">
        <f t="shared" si="3"/>
        <v>12.712884742954419</v>
      </c>
    </row>
    <row r="59" spans="2:17" ht="12" x14ac:dyDescent="0.2">
      <c r="B59" s="392"/>
      <c r="D59" s="93">
        <f t="shared" si="0"/>
        <v>44</v>
      </c>
      <c r="E59" s="95" t="s">
        <v>726</v>
      </c>
      <c r="F59" s="395" t="s">
        <v>677</v>
      </c>
      <c r="G59" s="390">
        <v>25</v>
      </c>
      <c r="L59" s="583">
        <v>15.848803439635105</v>
      </c>
      <c r="M59" s="393">
        <f t="shared" si="3"/>
        <v>15.891105928693023</v>
      </c>
    </row>
    <row r="60" spans="2:17" ht="12" x14ac:dyDescent="0.2">
      <c r="B60" s="392"/>
      <c r="D60" s="93">
        <f t="shared" si="0"/>
        <v>45</v>
      </c>
      <c r="E60" s="95" t="s">
        <v>373</v>
      </c>
      <c r="F60" s="395" t="s">
        <v>677</v>
      </c>
      <c r="G60" s="390">
        <v>50</v>
      </c>
      <c r="L60" s="583">
        <v>31.697606879270211</v>
      </c>
      <c r="M60" s="393">
        <f>G60*(1-Retail.minus.additional.calls)</f>
        <v>31.782211857386045</v>
      </c>
    </row>
    <row r="61" spans="2:17" ht="12" x14ac:dyDescent="0.2">
      <c r="B61" s="392"/>
      <c r="D61" s="93">
        <f t="shared" si="0"/>
        <v>46</v>
      </c>
      <c r="E61" s="95" t="s">
        <v>375</v>
      </c>
      <c r="F61" s="395" t="s">
        <v>677</v>
      </c>
      <c r="G61" s="390">
        <v>65</v>
      </c>
      <c r="L61" s="583">
        <v>41.206888943051275</v>
      </c>
      <c r="M61" s="393">
        <f>G61*(1-Retail.minus.additional.calls)</f>
        <v>41.31687541460186</v>
      </c>
    </row>
    <row r="62" spans="2:17" ht="12.6" thickBot="1" x14ac:dyDescent="0.25">
      <c r="B62" s="392"/>
      <c r="D62" s="93">
        <f t="shared" si="0"/>
        <v>47</v>
      </c>
      <c r="E62" s="95" t="s">
        <v>377</v>
      </c>
      <c r="F62" s="395" t="s">
        <v>677</v>
      </c>
      <c r="G62" s="390">
        <v>80</v>
      </c>
      <c r="L62" s="583">
        <v>50.71617100683234</v>
      </c>
      <c r="M62" s="393">
        <f>G62*(1-Retail.minus.additional.calls)</f>
        <v>50.851538971817675</v>
      </c>
    </row>
    <row r="63" spans="2:17" x14ac:dyDescent="0.2">
      <c r="E63" s="53"/>
      <c r="F63" s="53"/>
      <c r="G63" s="53"/>
      <c r="H63" s="53"/>
      <c r="I63" s="53"/>
      <c r="J63" s="53"/>
      <c r="K63" s="53"/>
      <c r="L63" s="53"/>
      <c r="M63" s="53"/>
      <c r="N63" s="53"/>
      <c r="O63" s="53"/>
      <c r="P63" s="53"/>
      <c r="Q63" s="53"/>
    </row>
    <row r="66" spans="1:53" ht="12" x14ac:dyDescent="0.2">
      <c r="A66" s="99">
        <v>2</v>
      </c>
      <c r="B66" s="99" t="s">
        <v>727</v>
      </c>
      <c r="C66" s="76"/>
      <c r="D66" s="76"/>
      <c r="E66" s="76"/>
      <c r="F66" s="76"/>
      <c r="G66" s="76"/>
      <c r="H66" s="76"/>
      <c r="I66" s="76"/>
      <c r="J66" s="76"/>
      <c r="K66" s="76"/>
      <c r="L66" s="76"/>
      <c r="M66" s="76"/>
      <c r="N66" s="76"/>
      <c r="O66" s="76"/>
      <c r="P66" s="76"/>
      <c r="Q66" s="76"/>
      <c r="R66" s="76"/>
      <c r="S66" s="76"/>
      <c r="T66" s="76"/>
      <c r="U66" s="76"/>
      <c r="V66" s="76"/>
      <c r="W66" s="76"/>
      <c r="X66" s="76"/>
      <c r="Y66" s="76"/>
      <c r="Z66" s="76"/>
      <c r="AA66" s="76"/>
      <c r="AB66" s="76"/>
      <c r="AC66" s="76"/>
      <c r="AD66" s="76"/>
      <c r="AE66" s="76"/>
      <c r="AF66" s="76"/>
      <c r="AG66" s="76"/>
      <c r="AH66" s="76"/>
      <c r="AI66" s="76"/>
      <c r="AJ66" s="76"/>
      <c r="AK66" s="76"/>
      <c r="AL66" s="76"/>
      <c r="AM66" s="76"/>
      <c r="AN66" s="76"/>
      <c r="AO66" s="76"/>
      <c r="AP66" s="76"/>
      <c r="AQ66" s="76"/>
      <c r="AR66" s="76"/>
      <c r="AS66" s="76"/>
      <c r="AT66" s="76"/>
      <c r="AU66" s="76"/>
      <c r="AV66" s="76"/>
      <c r="AW66" s="76"/>
      <c r="AX66" s="76"/>
      <c r="AY66" s="76"/>
      <c r="AZ66" s="76"/>
      <c r="BA66" s="76"/>
    </row>
    <row r="67" spans="1:53" ht="12" x14ac:dyDescent="0.2">
      <c r="B67" s="577" t="s">
        <v>1075</v>
      </c>
      <c r="C67" s="577"/>
    </row>
    <row r="68" spans="1:53" ht="24" x14ac:dyDescent="0.2">
      <c r="B68" s="578" t="s">
        <v>1077</v>
      </c>
      <c r="C68" s="389" t="s">
        <v>1076</v>
      </c>
    </row>
    <row r="69" spans="1:53" ht="12" x14ac:dyDescent="0.2">
      <c r="B69" s="582">
        <v>0.27766167356922344</v>
      </c>
      <c r="C69" s="376">
        <f ca="1">INDIRECT(D69)</f>
        <v>0.28505767856051967</v>
      </c>
      <c r="D69" s="82" t="s">
        <v>672</v>
      </c>
      <c r="F69" s="129"/>
      <c r="G69" s="103"/>
      <c r="H69" s="103"/>
      <c r="I69" s="103"/>
      <c r="J69" s="129"/>
      <c r="K69" s="103"/>
      <c r="L69" s="103"/>
      <c r="M69" s="103"/>
      <c r="N69" s="103"/>
      <c r="O69" s="103"/>
      <c r="P69" s="103"/>
    </row>
    <row r="70" spans="1:53" ht="12" x14ac:dyDescent="0.2">
      <c r="F70" s="388"/>
      <c r="G70" s="388"/>
      <c r="H70" s="388"/>
      <c r="I70" s="388"/>
      <c r="J70" s="388"/>
      <c r="K70" s="388"/>
      <c r="L70" s="388"/>
      <c r="M70" s="388"/>
      <c r="N70" s="388"/>
      <c r="O70" s="388"/>
      <c r="P70" s="388"/>
    </row>
    <row r="71" spans="1:53" ht="12" x14ac:dyDescent="0.2">
      <c r="E71" s="101" t="s">
        <v>728</v>
      </c>
    </row>
    <row r="72" spans="1:53" ht="12" x14ac:dyDescent="0.2">
      <c r="L72" s="577" t="s">
        <v>1075</v>
      </c>
      <c r="M72" s="577"/>
    </row>
    <row r="73" spans="1:53" ht="24" x14ac:dyDescent="0.2">
      <c r="F73" s="100">
        <v>4</v>
      </c>
      <c r="G73" s="100">
        <v>5</v>
      </c>
      <c r="L73" s="578" t="s">
        <v>1077</v>
      </c>
      <c r="M73" s="389" t="s">
        <v>1076</v>
      </c>
    </row>
    <row r="74" spans="1:53" ht="36" x14ac:dyDescent="0.2">
      <c r="E74" s="43" t="s">
        <v>309</v>
      </c>
      <c r="F74" s="43" t="s">
        <v>213</v>
      </c>
      <c r="G74" s="43" t="str">
        <f>"Precio minorista "&amp;Year.selected
&amp;" Sin impuestos"</f>
        <v>Precio minorista 2025 Sin impuestos</v>
      </c>
      <c r="H74" s="389" t="s">
        <v>175</v>
      </c>
      <c r="I74" s="43" t="s">
        <v>729</v>
      </c>
      <c r="J74" s="43" t="s">
        <v>730</v>
      </c>
      <c r="K74" s="43"/>
      <c r="L74" s="43"/>
      <c r="M74" s="43" t="s">
        <v>676</v>
      </c>
      <c r="N74" s="43" t="s">
        <v>215</v>
      </c>
      <c r="O74" s="43"/>
      <c r="P74" s="43"/>
    </row>
    <row r="75" spans="1:53" ht="12" x14ac:dyDescent="0.2">
      <c r="D75" s="100">
        <v>1</v>
      </c>
      <c r="E75" s="95" t="s">
        <v>167</v>
      </c>
      <c r="F75" s="390" t="str">
        <f>VLOOKUP($E75,'Planes y paquetes'!$C$102:$H$143,F$73,FALSE)</f>
        <v>Renta Mensual</v>
      </c>
      <c r="G75" s="390">
        <f>VLOOKUP($E75,'Planes y paquetes'!$C$102:$H$143,G$73,FALSE)</f>
        <v>240.52</v>
      </c>
      <c r="H75" s="391">
        <f t="shared" ref="H75:H91" si="4">INDEX(vector.implicit.prices.broadband.after.discount,MATCH(E75,vector.plans.names,0))</f>
        <v>237</v>
      </c>
      <c r="I75" t="str">
        <f>IFERROR(VLOOKUP($E75,'Planes y paquetes'!$C$391:$P$432,13,FALSE),"")</f>
        <v>30 Mbps</v>
      </c>
      <c r="J75" t="str">
        <f>IFERROR(VLOOKUP($E75,'Planes y paquetes'!$C$391:$P$432,14,FALSE),"")</f>
        <v>5 Mbps</v>
      </c>
      <c r="L75" s="583">
        <v>173.73681427313039</v>
      </c>
      <c r="M75" s="396">
        <f t="shared" ref="M75:M88" si="5">H75*(1-Retail.minus.int.retail.minus.items.only)</f>
        <v>169.44133018115684</v>
      </c>
      <c r="N75" s="397"/>
    </row>
    <row r="76" spans="1:53" ht="12" x14ac:dyDescent="0.2">
      <c r="D76" s="100">
        <v>2</v>
      </c>
      <c r="E76" s="95" t="s">
        <v>170</v>
      </c>
      <c r="F76" s="390" t="str">
        <f>VLOOKUP($E76,'Planes y paquetes'!$C$102:$H$143,F$73,FALSE)</f>
        <v>Renta Mensual</v>
      </c>
      <c r="G76" s="390">
        <f>VLOOKUP($E76,'Planes y paquetes'!$C$102:$H$143,G$73,FALSE)</f>
        <v>257.76</v>
      </c>
      <c r="H76" s="391">
        <f t="shared" si="4"/>
        <v>232</v>
      </c>
      <c r="I76" t="str">
        <f>IFERROR(VLOOKUP($E76,'Planes y paquetes'!$C$391:$P$432,13,FALSE),"")</f>
        <v>40 Mbps</v>
      </c>
      <c r="J76" t="str">
        <f>IFERROR(VLOOKUP($E76,'Planes y paquetes'!$C$391:$P$432,14,FALSE),"")</f>
        <v>5 Mbps</v>
      </c>
      <c r="L76" s="583">
        <v>186.18992702079697</v>
      </c>
      <c r="M76" s="396">
        <f t="shared" si="5"/>
        <v>165.86661857395944</v>
      </c>
      <c r="N76" s="398"/>
    </row>
    <row r="77" spans="1:53" ht="12" x14ac:dyDescent="0.2">
      <c r="D77" s="100">
        <v>3</v>
      </c>
      <c r="E77" s="95" t="s">
        <v>174</v>
      </c>
      <c r="F77" s="390" t="str">
        <f>VLOOKUP($E77,'Planes y paquetes'!$C$102:$H$143,F$73,FALSE)</f>
        <v>Renta Mensual</v>
      </c>
      <c r="G77" s="390">
        <f>VLOOKUP($E77,'Planes y paquetes'!$C$102:$H$143,G$73,FALSE)</f>
        <v>300.86</v>
      </c>
      <c r="H77" s="391">
        <f t="shared" si="4"/>
        <v>228.53754260564546</v>
      </c>
      <c r="I77" t="str">
        <f>IFERROR(VLOOKUP($E77,'Planes y paquetes'!$C$391:$P$432,13,FALSE),"")</f>
        <v>80 Mbps</v>
      </c>
      <c r="J77" t="str">
        <f>IFERROR(VLOOKUP($E77,'Planes y paquetes'!$C$391:$P$432,14,FALSE),"")</f>
        <v>80 Mbps</v>
      </c>
      <c r="L77" s="583">
        <v>206.01819440924211</v>
      </c>
      <c r="M77" s="396">
        <f t="shared" si="5"/>
        <v>163.3911612465543</v>
      </c>
      <c r="N77" s="398"/>
    </row>
    <row r="78" spans="1:53" ht="12" x14ac:dyDescent="0.2">
      <c r="D78" s="100">
        <v>4</v>
      </c>
      <c r="E78" s="95" t="s">
        <v>177</v>
      </c>
      <c r="F78" s="390" t="str">
        <f>VLOOKUP($E78,'Planes y paquetes'!$C$102:$H$143,F$73,FALSE)</f>
        <v>Renta Mensual</v>
      </c>
      <c r="G78" s="390">
        <f>VLOOKUP($E78,'Planes y paquetes'!$C$102:$H$143,G$73,FALSE)</f>
        <v>343.97</v>
      </c>
      <c r="H78" s="391">
        <f t="shared" si="4"/>
        <v>406.11288261544814</v>
      </c>
      <c r="I78" t="str">
        <f>IFERROR(VLOOKUP($E78,'Planes y paquetes'!$C$391:$P$432,13,FALSE),"")</f>
        <v>100 Mbps</v>
      </c>
      <c r="J78" t="str">
        <f>IFERROR(VLOOKUP($E78,'Planes y paquetes'!$C$391:$P$432,14,FALSE),"")</f>
        <v>100 Mbps</v>
      </c>
      <c r="L78" s="583">
        <v>237.08401796492987</v>
      </c>
      <c r="M78" s="396">
        <f t="shared" si="5"/>
        <v>290.34728706356765</v>
      </c>
      <c r="N78" s="398"/>
    </row>
    <row r="79" spans="1:53" ht="12" x14ac:dyDescent="0.2">
      <c r="D79" s="100">
        <v>5</v>
      </c>
      <c r="E79" s="95" t="s">
        <v>180</v>
      </c>
      <c r="F79" s="390" t="str">
        <f>VLOOKUP($E79,'Planes y paquetes'!$C$102:$H$143,F$73,FALSE)</f>
        <v>Renta Mensual</v>
      </c>
      <c r="G79" s="390">
        <f>VLOOKUP($E79,'Planes y paquetes'!$C$102:$H$143,G$73,FALSE)</f>
        <v>387.07</v>
      </c>
      <c r="H79" s="391">
        <f t="shared" si="4"/>
        <v>336.23094018293682</v>
      </c>
      <c r="I79" t="str">
        <f>IFERROR(VLOOKUP($E79,'Planes y paquetes'!$C$391:$P$432,13,FALSE),"")</f>
        <v>150 Mbps</v>
      </c>
      <c r="J79" t="str">
        <f>IFERROR(VLOOKUP($E79,'Planes y paquetes'!$C$391:$P$432,14,FALSE),"")</f>
        <v>150 Mbps</v>
      </c>
      <c r="L79" s="583">
        <v>268.15847791009821</v>
      </c>
      <c r="M79" s="396">
        <f t="shared" si="5"/>
        <v>240.38572891416791</v>
      </c>
      <c r="N79" s="398"/>
    </row>
    <row r="80" spans="1:53" ht="12" x14ac:dyDescent="0.2">
      <c r="D80" s="100">
        <v>6</v>
      </c>
      <c r="E80" s="494" t="s">
        <v>1037</v>
      </c>
      <c r="F80" s="333" t="str">
        <f>VLOOKUP($E80,'Planes y paquetes'!$C$102:$H$143,F$73,FALSE)</f>
        <v>Renta Mensual</v>
      </c>
      <c r="G80" s="249">
        <f>VLOOKUP($E80,'Planes y paquetes'!$C$102:$H$143,G$73,FALSE)</f>
        <v>430.17</v>
      </c>
      <c r="H80" s="391">
        <f t="shared" si="4"/>
        <v>516.98733978632958</v>
      </c>
      <c r="I80" t="str">
        <f>IFERROR(VLOOKUP($E80,'Planes y paquetes'!$C$391:$P$432,13,FALSE),"")</f>
        <v>250 Mbps</v>
      </c>
      <c r="J80" t="str">
        <f>IFERROR(VLOOKUP($E80,'Planes y paquetes'!$C$391:$P$432,14,FALSE),"")</f>
        <v>250 Mbps</v>
      </c>
      <c r="L80" s="583">
        <v>299.24419281490816</v>
      </c>
      <c r="M80" s="396">
        <f t="shared" si="5"/>
        <v>369.61612886165989</v>
      </c>
      <c r="N80" s="398"/>
    </row>
    <row r="81" spans="1:53" ht="12" x14ac:dyDescent="0.2">
      <c r="D81" s="100">
        <v>7</v>
      </c>
      <c r="E81" s="95" t="s">
        <v>182</v>
      </c>
      <c r="F81" s="390" t="str">
        <f>VLOOKUP($E81,'Planes y paquetes'!$C$102:$H$143,F$73,FALSE)</f>
        <v>Renta Mensual</v>
      </c>
      <c r="G81" s="390">
        <f>VLOOKUP($E81,'Planes y paquetes'!$C$102:$H$143,G$73,FALSE)</f>
        <v>473.28</v>
      </c>
      <c r="H81" s="391">
        <f t="shared" si="4"/>
        <v>363.18045293053467</v>
      </c>
      <c r="I81" t="str">
        <f>IFERROR(VLOOKUP($E81,'Planes y paquetes'!$C$391:$P$432,13,FALSE),"")</f>
        <v>350 Mbps</v>
      </c>
      <c r="J81" t="str">
        <f>IFERROR(VLOOKUP($E81,'Planes y paquetes'!$C$391:$P$432,14,FALSE),"")</f>
        <v>350 Mbps</v>
      </c>
      <c r="L81" s="583">
        <v>330.34540658261221</v>
      </c>
      <c r="M81" s="396">
        <f t="shared" si="5"/>
        <v>259.65307611959838</v>
      </c>
      <c r="N81" s="398"/>
    </row>
    <row r="82" spans="1:53" ht="12" x14ac:dyDescent="0.2">
      <c r="D82" s="100">
        <v>8</v>
      </c>
      <c r="E82" s="494" t="s">
        <v>1038</v>
      </c>
      <c r="F82" s="333" t="str">
        <f>VLOOKUP($E82,'Planes y paquetes'!$C$102:$H$143,F$73,FALSE)</f>
        <v>Renta Mensual</v>
      </c>
      <c r="G82" s="249">
        <f>VLOOKUP($E82,'Planes y paquetes'!$C$102:$H$143,G$73,FALSE)</f>
        <v>559.48</v>
      </c>
      <c r="H82" s="391">
        <f t="shared" si="4"/>
        <v>389.13794866550774</v>
      </c>
      <c r="I82" t="str">
        <f>IFERROR(VLOOKUP($E82,'Planes y paquetes'!$C$391:$P$432,13,FALSE),"")</f>
        <v>500 Mbps</v>
      </c>
      <c r="J82" t="str">
        <f>IFERROR(VLOOKUP($E82,'Planes y paquetes'!$C$391:$P$432,14,FALSE),"")</f>
        <v>350 Mbps</v>
      </c>
      <c r="L82" s="583">
        <v>392.55081875912242</v>
      </c>
      <c r="M82" s="396">
        <f t="shared" si="5"/>
        <v>278.21118837911541</v>
      </c>
      <c r="N82" s="398"/>
    </row>
    <row r="83" spans="1:53" ht="12" x14ac:dyDescent="0.2">
      <c r="D83" s="100">
        <v>9</v>
      </c>
      <c r="E83" s="95" t="s">
        <v>184</v>
      </c>
      <c r="F83" s="390" t="str">
        <f>VLOOKUP($E83,'Planes y paquetes'!$C$102:$H$143,F$73,FALSE)</f>
        <v>Renta Mensual</v>
      </c>
      <c r="G83" s="390">
        <f>VLOOKUP($E83,'Planes y paquetes'!$C$102:$H$143,G$73,FALSE)</f>
        <v>775</v>
      </c>
      <c r="H83" s="391">
        <f t="shared" si="4"/>
        <v>655.88721249076593</v>
      </c>
      <c r="I83" t="str">
        <f>IFERROR(VLOOKUP($E83,'Planes y paquetes'!$C$391:$P$432,13,FALSE),"")</f>
        <v>750 Mbps</v>
      </c>
      <c r="J83" t="str">
        <f>IFERROR(VLOOKUP($E83,'Planes y paquetes'!$C$391:$P$432,14,FALSE),"")</f>
        <v>300 Mbps</v>
      </c>
      <c r="L83" s="583">
        <v>548.13611118279459</v>
      </c>
      <c r="M83" s="396">
        <f t="shared" si="5"/>
        <v>468.92152630061793</v>
      </c>
      <c r="N83" s="398"/>
    </row>
    <row r="84" spans="1:53" ht="12" x14ac:dyDescent="0.2">
      <c r="D84" s="100">
        <v>10</v>
      </c>
      <c r="E84" s="95" t="s">
        <v>187</v>
      </c>
      <c r="F84" s="390" t="str">
        <f>VLOOKUP($E84,'Planes y paquetes'!$C$102:$H$143,F$73,FALSE)</f>
        <v>Renta Mensual</v>
      </c>
      <c r="G84" s="390">
        <f>VLOOKUP($E84,'Planes y paquetes'!$C$102:$H$143,G$73,FALSE)</f>
        <v>257.76</v>
      </c>
      <c r="H84" s="391">
        <f t="shared" si="4"/>
        <v>303</v>
      </c>
      <c r="I84" t="str">
        <f>IFERROR(VLOOKUP($E84,'Planes y paquetes'!$C$391:$P$432,13,FALSE),"")</f>
        <v>40 Mbps</v>
      </c>
      <c r="J84" t="str">
        <f>IFERROR(VLOOKUP($E84,'Planes y paquetes'!$C$391:$P$432,14,FALSE),"")</f>
        <v>5 Mbps</v>
      </c>
      <c r="L84" s="583">
        <v>186.18992702079697</v>
      </c>
      <c r="M84" s="396">
        <f t="shared" si="5"/>
        <v>216.62752339616253</v>
      </c>
      <c r="N84" s="398"/>
    </row>
    <row r="85" spans="1:53" ht="12" x14ac:dyDescent="0.2">
      <c r="D85" s="100">
        <v>11</v>
      </c>
      <c r="E85" s="95" t="s">
        <v>189</v>
      </c>
      <c r="F85" s="390" t="str">
        <f>VLOOKUP($E85,'Planes y paquetes'!$C$102:$H$143,F$73,FALSE)</f>
        <v>Renta Mensual</v>
      </c>
      <c r="G85" s="390">
        <f>VLOOKUP($E85,'Planes y paquetes'!$C$102:$H$143,G$73,FALSE)</f>
        <v>300.86</v>
      </c>
      <c r="H85" s="391">
        <f t="shared" si="4"/>
        <v>342</v>
      </c>
      <c r="I85" t="str">
        <f>IFERROR(VLOOKUP($E85,'Planes y paquetes'!$C$391:$P$432,13,FALSE),"")</f>
        <v>80 Mbps</v>
      </c>
      <c r="J85" t="str">
        <f>IFERROR(VLOOKUP($E85,'Planes y paquetes'!$C$391:$P$432,14,FALSE),"")</f>
        <v>80 Mbps</v>
      </c>
      <c r="L85" s="583">
        <v>217.32270888996345</v>
      </c>
      <c r="M85" s="396">
        <f t="shared" si="5"/>
        <v>244.51027393230228</v>
      </c>
      <c r="N85" s="398"/>
    </row>
    <row r="86" spans="1:53" ht="12" x14ac:dyDescent="0.2">
      <c r="D86" s="100">
        <v>12</v>
      </c>
      <c r="E86" s="95" t="s">
        <v>191</v>
      </c>
      <c r="F86" s="390" t="str">
        <f>VLOOKUP($E86,'Planes y paquetes'!$C$102:$H$143,F$73,FALSE)</f>
        <v>Renta Mensual</v>
      </c>
      <c r="G86" s="390">
        <f>VLOOKUP($E86,'Planes y paquetes'!$C$102:$H$143,G$73,FALSE)</f>
        <v>343.97</v>
      </c>
      <c r="H86" s="391">
        <f t="shared" si="4"/>
        <v>402</v>
      </c>
      <c r="I86" t="str">
        <f>IFERROR(VLOOKUP($E86,'Planes y paquetes'!$C$391:$P$432,13,FALSE),"")</f>
        <v>100 Mbps</v>
      </c>
      <c r="J86" t="str">
        <f>IFERROR(VLOOKUP($E86,'Planes y paquetes'!$C$391:$P$432,14,FALSE),"")</f>
        <v>100 Mbps</v>
      </c>
      <c r="L86" s="583">
        <v>248.46271414239422</v>
      </c>
      <c r="M86" s="396">
        <f t="shared" si="5"/>
        <v>287.40681321867112</v>
      </c>
      <c r="N86" s="398"/>
    </row>
    <row r="87" spans="1:53" ht="12" x14ac:dyDescent="0.2">
      <c r="D87" s="100">
        <v>13</v>
      </c>
      <c r="E87" s="95" t="s">
        <v>192</v>
      </c>
      <c r="F87" s="390" t="str">
        <f>VLOOKUP($E87,'Planes y paquetes'!$C$102:$H$143,F$73,FALSE)</f>
        <v>Renta Mensual</v>
      </c>
      <c r="G87" s="390">
        <f>VLOOKUP($E87,'Planes y paquetes'!$C$102:$H$143,G$73,FALSE)</f>
        <v>387.07</v>
      </c>
      <c r="H87" s="391">
        <f t="shared" si="4"/>
        <v>482</v>
      </c>
      <c r="I87" t="str">
        <f>IFERROR(VLOOKUP($E87,'Planes y paquetes'!$C$391:$P$432,13,FALSE),"")</f>
        <v>150 Mbps</v>
      </c>
      <c r="J87" t="str">
        <f>IFERROR(VLOOKUP($E87,'Planes y paquetes'!$C$391:$P$432,14,FALSE),"")</f>
        <v>20 Mbps</v>
      </c>
      <c r="L87" s="583">
        <v>279.59549601156067</v>
      </c>
      <c r="M87" s="396">
        <f t="shared" si="5"/>
        <v>344.60219893382953</v>
      </c>
      <c r="N87" s="398"/>
    </row>
    <row r="88" spans="1:53" ht="12" x14ac:dyDescent="0.2">
      <c r="D88" s="100">
        <v>14</v>
      </c>
      <c r="E88" s="494" t="s">
        <v>1040</v>
      </c>
      <c r="F88" s="333" t="str">
        <f>VLOOKUP($E88,'Planes y paquetes'!$C$102:$H$143,F$73,FALSE)</f>
        <v>Renta Mensual</v>
      </c>
      <c r="G88" s="249">
        <f>VLOOKUP($E88,'Planes y paquetes'!$C$102:$H$143,G$73,FALSE)</f>
        <v>430.17</v>
      </c>
      <c r="H88" s="391">
        <f t="shared" si="4"/>
        <v>422</v>
      </c>
      <c r="I88" t="str">
        <f>IFERROR(VLOOKUP($E88,'Planes y paquetes'!$C$391:$P$432,13,FALSE),"")</f>
        <v>250 Mbps</v>
      </c>
      <c r="J88" t="str">
        <f>IFERROR(VLOOKUP($E88,'Planes y paquetes'!$C$391:$P$432,14,FALSE),"")</f>
        <v>250 Mbps</v>
      </c>
      <c r="L88" s="583">
        <v>310.72827788072715</v>
      </c>
      <c r="M88" s="396">
        <f t="shared" si="5"/>
        <v>301.70565964746072</v>
      </c>
      <c r="N88" s="398"/>
    </row>
    <row r="89" spans="1:53" ht="12" x14ac:dyDescent="0.2">
      <c r="D89" s="100">
        <v>15</v>
      </c>
      <c r="E89" s="95" t="s">
        <v>193</v>
      </c>
      <c r="F89" s="390" t="str">
        <f>VLOOKUP($E89,'Planes y paquetes'!$C$102:$H$143,F$73,FALSE)</f>
        <v>Renta Mensual</v>
      </c>
      <c r="G89" s="390">
        <f>VLOOKUP($E89,'Planes y paquetes'!$C$102:$H$143,G$73,FALSE)</f>
        <v>473.28</v>
      </c>
      <c r="H89" s="391">
        <f t="shared" si="4"/>
        <v>346</v>
      </c>
      <c r="I89" t="str">
        <f>IFERROR(VLOOKUP($E89,'Planes y paquetes'!$C$391:$P$432,13,FALSE),"")</f>
        <v>350 Mbps</v>
      </c>
      <c r="J89" t="str">
        <f>IFERROR(VLOOKUP($E89,'Planes y paquetes'!$C$391:$P$432,14,FALSE),"")</f>
        <v>350 Mbps</v>
      </c>
      <c r="L89" s="583">
        <v>341.86828313315789</v>
      </c>
      <c r="M89" s="396">
        <f>H89*(1-Retail.minus.int.retail.minus.items.only)</f>
        <v>247.3700432180602</v>
      </c>
      <c r="N89" s="398"/>
    </row>
    <row r="90" spans="1:53" ht="12" x14ac:dyDescent="0.2">
      <c r="D90" s="100">
        <v>16</v>
      </c>
      <c r="E90" s="494" t="s">
        <v>1041</v>
      </c>
      <c r="F90" s="333" t="str">
        <f>VLOOKUP($E90,'Planes y paquetes'!$C$102:$H$143,F$73,FALSE)</f>
        <v>Renta Mensual</v>
      </c>
      <c r="G90" s="249">
        <f>VLOOKUP($E90,'Planes y paquetes'!$C$102:$H$143,G$73,FALSE)</f>
        <v>559.48</v>
      </c>
      <c r="H90" s="391">
        <f>INDEX(vector.implicit.prices.broadband.after.discount,MATCH(E90,vector.plans.names,0))</f>
        <v>597</v>
      </c>
      <c r="I90" t="str">
        <f>IFERROR(VLOOKUP($E90,'Planes y paquetes'!$C$391:$P$432,13,FALSE),"")</f>
        <v>500 Mbps</v>
      </c>
      <c r="J90" t="str">
        <f>IFERROR(VLOOKUP($E90,'Planes y paquetes'!$C$391:$P$432,14,FALSE),"")</f>
        <v>350 Mbps</v>
      </c>
      <c r="L90" s="583">
        <v>404.1338468714909</v>
      </c>
      <c r="M90" s="396">
        <f>H90*(1-Retail.minus.int.retail.minus.items.only)</f>
        <v>426.82056589936974</v>
      </c>
      <c r="N90" s="398"/>
    </row>
    <row r="91" spans="1:53" ht="12" x14ac:dyDescent="0.2">
      <c r="D91" s="100">
        <v>17</v>
      </c>
      <c r="E91" s="95" t="s">
        <v>195</v>
      </c>
      <c r="F91" s="390" t="str">
        <f>VLOOKUP($E91,'Planes y paquetes'!$C$102:$H$143,F$73,FALSE)</f>
        <v>Renta Mensual</v>
      </c>
      <c r="G91" s="390">
        <f>VLOOKUP($E91,'Planes y paquetes'!$C$102:$H$143,G$73,FALSE)</f>
        <v>775</v>
      </c>
      <c r="H91" s="391">
        <f t="shared" si="4"/>
        <v>875</v>
      </c>
      <c r="I91" t="str">
        <f>IFERROR(VLOOKUP($E91,'Planes y paquetes'!$C$391:$P$432,13,FALSE),"")</f>
        <v>750 Mbps</v>
      </c>
      <c r="J91" t="str">
        <f>IFERROR(VLOOKUP($E91,'Planes y paquetes'!$C$391:$P$432,14,FALSE),"")</f>
        <v>300 Mbps</v>
      </c>
      <c r="L91" s="583">
        <v>559.81220298385188</v>
      </c>
      <c r="M91" s="396">
        <f>H91*(1-Retail.minus.int.retail.minus.items.only)</f>
        <v>625.57453125954532</v>
      </c>
      <c r="N91" s="398"/>
    </row>
    <row r="93" spans="1:53" x14ac:dyDescent="0.2">
      <c r="N93" s="197"/>
    </row>
    <row r="94" spans="1:53" ht="12" x14ac:dyDescent="0.2">
      <c r="A94" s="99">
        <v>3</v>
      </c>
      <c r="B94" s="99" t="s">
        <v>731</v>
      </c>
      <c r="C94" s="76"/>
      <c r="D94" s="76"/>
      <c r="E94" s="76"/>
      <c r="F94" s="76"/>
      <c r="G94" s="76"/>
      <c r="H94" s="76"/>
      <c r="I94" s="76"/>
      <c r="J94" s="76"/>
      <c r="K94" s="76"/>
      <c r="L94" s="76"/>
      <c r="M94" s="76"/>
      <c r="N94" s="76"/>
      <c r="O94" s="76"/>
      <c r="P94" s="76"/>
      <c r="Q94" s="76"/>
      <c r="R94" s="76"/>
      <c r="S94" s="76"/>
      <c r="T94" s="76"/>
      <c r="U94" s="76"/>
      <c r="V94" s="76"/>
      <c r="W94" s="76"/>
      <c r="X94" s="76"/>
      <c r="Y94" s="76"/>
      <c r="Z94" s="76"/>
      <c r="AA94" s="76"/>
      <c r="AB94" s="76"/>
      <c r="AC94" s="76"/>
      <c r="AD94" s="76"/>
      <c r="AE94" s="76"/>
      <c r="AF94" s="76"/>
      <c r="AG94" s="76"/>
      <c r="AH94" s="76"/>
      <c r="AI94" s="76"/>
      <c r="AJ94" s="76"/>
      <c r="AK94" s="76"/>
      <c r="AL94" s="76"/>
      <c r="AM94" s="76"/>
      <c r="AN94" s="76"/>
      <c r="AO94" s="76"/>
      <c r="AP94" s="76"/>
      <c r="AQ94" s="76"/>
      <c r="AR94" s="76"/>
      <c r="AS94" s="76"/>
      <c r="AT94" s="76"/>
      <c r="AU94" s="76"/>
      <c r="AV94" s="76"/>
      <c r="AW94" s="76"/>
      <c r="AX94" s="76"/>
      <c r="AY94" s="76"/>
      <c r="AZ94" s="76"/>
      <c r="BA94" s="76"/>
    </row>
    <row r="97" spans="1:19" ht="12" x14ac:dyDescent="0.2">
      <c r="B97" s="577" t="s">
        <v>1075</v>
      </c>
      <c r="C97" s="577"/>
    </row>
    <row r="98" spans="1:19" ht="24" x14ac:dyDescent="0.2">
      <c r="B98" s="578" t="s">
        <v>1077</v>
      </c>
      <c r="C98" s="389" t="s">
        <v>1076</v>
      </c>
    </row>
    <row r="99" spans="1:19" ht="12" x14ac:dyDescent="0.2">
      <c r="B99" s="582">
        <v>0.27766167356922344</v>
      </c>
      <c r="C99" s="376">
        <f ca="1">INDIRECT(D99)</f>
        <v>0.28505767856051967</v>
      </c>
      <c r="D99" s="82" t="s">
        <v>672</v>
      </c>
    </row>
    <row r="101" spans="1:19" ht="12" x14ac:dyDescent="0.2">
      <c r="B101" s="582">
        <v>9.7200446652700917E-2</v>
      </c>
      <c r="C101" s="376">
        <f ca="1">INDIRECT(D101)</f>
        <v>0.10027658950145379</v>
      </c>
      <c r="D101" s="82" t="s">
        <v>656</v>
      </c>
    </row>
    <row r="103" spans="1:19" ht="12" x14ac:dyDescent="0.2">
      <c r="B103" s="582">
        <v>8.619954806093777E-2</v>
      </c>
      <c r="C103" s="376">
        <f ca="1">INDIRECT(D103)</f>
        <v>8.8188349250029163E-2</v>
      </c>
      <c r="D103" s="82" t="s">
        <v>657</v>
      </c>
      <c r="L103" s="230"/>
    </row>
    <row r="105" spans="1:19" x14ac:dyDescent="0.2">
      <c r="O105" s="380"/>
    </row>
    <row r="106" spans="1:19" ht="12" x14ac:dyDescent="0.2">
      <c r="E106" s="101" t="s">
        <v>728</v>
      </c>
      <c r="L106" s="577" t="s">
        <v>1075</v>
      </c>
      <c r="M106" s="577"/>
    </row>
    <row r="107" spans="1:19" ht="24" x14ac:dyDescent="0.2">
      <c r="F107" s="100">
        <v>4</v>
      </c>
      <c r="G107" s="100">
        <v>4</v>
      </c>
      <c r="H107" s="399" t="s">
        <v>732</v>
      </c>
      <c r="I107" s="73"/>
      <c r="J107" s="73"/>
      <c r="K107" s="73"/>
      <c r="L107" s="578" t="s">
        <v>1077</v>
      </c>
      <c r="M107" s="389" t="s">
        <v>1076</v>
      </c>
      <c r="R107">
        <v>13</v>
      </c>
      <c r="S107">
        <v>14</v>
      </c>
    </row>
    <row r="108" spans="1:19" ht="66" customHeight="1" x14ac:dyDescent="0.2">
      <c r="E108" s="43" t="s">
        <v>309</v>
      </c>
      <c r="F108" s="43" t="s">
        <v>213</v>
      </c>
      <c r="G108" s="43" t="str">
        <f>"Precio minorista "&amp;Year.selected
&amp;" Sin impuestos"</f>
        <v>Precio minorista 2025 Sin impuestos</v>
      </c>
      <c r="H108" s="389" t="s">
        <v>175</v>
      </c>
      <c r="I108" s="389" t="s">
        <v>604</v>
      </c>
      <c r="J108" s="389" t="s">
        <v>605</v>
      </c>
      <c r="K108" s="400" t="s">
        <v>733</v>
      </c>
      <c r="L108" s="522" t="s">
        <v>676</v>
      </c>
      <c r="M108" s="43" t="s">
        <v>676</v>
      </c>
      <c r="N108" s="43" t="s">
        <v>223</v>
      </c>
      <c r="O108" s="43"/>
      <c r="P108" s="43" t="s">
        <v>734</v>
      </c>
      <c r="Q108" s="43" t="s">
        <v>735</v>
      </c>
      <c r="R108" s="43" t="s">
        <v>729</v>
      </c>
      <c r="S108" s="43" t="s">
        <v>730</v>
      </c>
    </row>
    <row r="109" spans="1:19" ht="14.4" x14ac:dyDescent="0.2">
      <c r="A109" s="401"/>
      <c r="B109" s="402"/>
      <c r="D109" s="100">
        <v>1</v>
      </c>
      <c r="E109" s="95" t="s">
        <v>166</v>
      </c>
      <c r="F109" s="390" t="str">
        <f>VLOOKUP($E109,'Planes y paquetes'!$C$102:$H$143,F$73,FALSE)</f>
        <v>Renta Mensual</v>
      </c>
      <c r="G109" s="390">
        <f>VLOOKUP($E109,'Planes y paquetes'!$C$102:$H$143,G$73,FALSE)</f>
        <v>210.24</v>
      </c>
      <c r="H109" s="391">
        <f t="shared" ref="H109:H127" si="6">INDEX(vector.implicit.prices.broadband.after.discount,MATCH(E109,vector.plans.names,0))</f>
        <v>68</v>
      </c>
      <c r="I109" s="391">
        <f t="shared" ref="I109:I117" si="7">INDEX(vector.implicit.prices.line.rental.after.discount,MATCH($E109,vector.plans.names,0))</f>
        <v>156.55000000000001</v>
      </c>
      <c r="J109" s="391">
        <f t="shared" ref="J109:J117" si="8">INDEX(vector.implicit.prices.voice.after.discount,MATCH($E109,vector.plans.names,0))</f>
        <v>0</v>
      </c>
      <c r="K109" s="391">
        <f t="shared" ref="K109:K117" si="9">INDEX(vector.implicit.prices.digitalservices.after.discount,MATCH(E109,vector.plans.names,0))</f>
        <v>0</v>
      </c>
      <c r="L109" s="583">
        <v>180.11561482258807</v>
      </c>
      <c r="M109" s="403">
        <f t="shared" ref="M109:M117" si="10">H109*(1-Retail.minus.int.retail.minus.items.only)+I109*(1-Retail.minus.line.rental.retail.minus.items.only)+J109*(1-Retail.minus.additional.calls.retail.minus.items.only)+K109*(1-Retail.minus.additional.calls.retail.minus.items.only)</f>
        <v>189.46777777143205</v>
      </c>
      <c r="N109" s="404">
        <f>1-M109/G109</f>
        <v>9.8802426886263062E-2</v>
      </c>
      <c r="O109" s="296"/>
      <c r="P109" s="404">
        <f t="shared" ref="P109:P127" si="11">Q109/SUM($Q$109:$Q$127)</f>
        <v>2.0027163041394756E-2</v>
      </c>
      <c r="Q109" s="405">
        <f>VLOOKUP(E109,Mercado!$E$67:$O$100,11,0)</f>
        <v>155086.98893012275</v>
      </c>
      <c r="R109" t="str">
        <f>IFERROR(VLOOKUP($E109,'Planes y paquetes'!$C$391:$P$432,R$107,FALSE),"")</f>
        <v>15 Mbps</v>
      </c>
      <c r="S109" t="str">
        <f>IFERROR(VLOOKUP($E109,'Planes y paquetes'!$C$391:$P$432,S$107,FALSE),"")</f>
        <v>.640 Mbps</v>
      </c>
    </row>
    <row r="110" spans="1:19" ht="14.4" x14ac:dyDescent="0.2">
      <c r="A110" s="401"/>
      <c r="B110" s="402"/>
      <c r="D110" s="100">
        <v>2</v>
      </c>
      <c r="E110" s="95" t="s">
        <v>169</v>
      </c>
      <c r="F110" s="390" t="str">
        <f>VLOOKUP($E110,'Planes y paquetes'!$C$102:$H$143,F$73,FALSE)</f>
        <v>Renta Mensual</v>
      </c>
      <c r="G110" s="390">
        <f>VLOOKUP($E110,'Planes y paquetes'!$C$102:$H$143,G$73,FALSE)</f>
        <v>244.01</v>
      </c>
      <c r="H110" s="391">
        <f t="shared" si="6"/>
        <v>107</v>
      </c>
      <c r="I110" s="391">
        <f t="shared" si="7"/>
        <v>156.55000000000001</v>
      </c>
      <c r="J110" s="391">
        <f t="shared" si="8"/>
        <v>5</v>
      </c>
      <c r="K110" s="391">
        <f t="shared" si="9"/>
        <v>0</v>
      </c>
      <c r="L110" s="583">
        <v>205.42608368734008</v>
      </c>
      <c r="M110" s="403">
        <f t="shared" si="10"/>
        <v>221.90958656132167</v>
      </c>
      <c r="N110" s="404">
        <f t="shared" ref="N110:N127" si="12">1-M110/G110</f>
        <v>9.0571752955527662E-2</v>
      </c>
      <c r="O110" s="296"/>
      <c r="P110" s="404">
        <f t="shared" si="11"/>
        <v>5.9164688808878542E-3</v>
      </c>
      <c r="Q110" s="405">
        <f>VLOOKUP(E110,Mercado!$E$67:$O$100,11,0)</f>
        <v>45816.141903829433</v>
      </c>
      <c r="R110" t="str">
        <f>IFERROR(VLOOKUP($E110,'Planes y paquetes'!$C$391:$P$432,R$107,FALSE),"")</f>
        <v>15 Mbps</v>
      </c>
      <c r="S110" t="str">
        <f>IFERROR(VLOOKUP($E110,'Planes y paquetes'!$C$391:$P$432,S$107,FALSE),"")</f>
        <v>.640 Mbps</v>
      </c>
    </row>
    <row r="111" spans="1:19" ht="14.4" x14ac:dyDescent="0.2">
      <c r="A111" s="401"/>
      <c r="B111" s="402"/>
      <c r="D111" s="100">
        <v>3</v>
      </c>
      <c r="E111" s="95" t="s">
        <v>173</v>
      </c>
      <c r="F111" s="390" t="str">
        <f>VLOOKUP($E111,'Planes y paquetes'!$C$102:$H$143,F$73,FALSE)</f>
        <v>Renta Mensual</v>
      </c>
      <c r="G111" s="390">
        <f>VLOOKUP($E111,'Planes y paquetes'!$C$102:$H$143,G$73,FALSE)</f>
        <v>281.16000000000003</v>
      </c>
      <c r="H111" s="391">
        <f t="shared" si="6"/>
        <v>103</v>
      </c>
      <c r="I111" s="391">
        <f t="shared" si="7"/>
        <v>156.55000000000001</v>
      </c>
      <c r="J111" s="391">
        <f t="shared" si="8"/>
        <v>7</v>
      </c>
      <c r="K111" s="391">
        <f t="shared" si="9"/>
        <v>0</v>
      </c>
      <c r="L111" s="583">
        <v>232.73960782801419</v>
      </c>
      <c r="M111" s="403">
        <f t="shared" si="10"/>
        <v>220.87344057706369</v>
      </c>
      <c r="N111" s="404">
        <f t="shared" si="12"/>
        <v>0.2144208259458541</v>
      </c>
      <c r="O111" s="296"/>
      <c r="P111" s="404">
        <f t="shared" si="11"/>
        <v>8.5886939251940738E-3</v>
      </c>
      <c r="Q111" s="405">
        <f>VLOOKUP(E111,Mercado!$E$67:$O$100,11,0)</f>
        <v>66509.404100203566</v>
      </c>
      <c r="R111" t="str">
        <f>IFERROR(VLOOKUP($E111,'Planes y paquetes'!$C$391:$P$432,R$107,FALSE),"")</f>
        <v>15 Mbps</v>
      </c>
      <c r="S111" t="str">
        <f>IFERROR(VLOOKUP($E111,'Planes y paquetes'!$C$391:$P$432,S$107,FALSE),"")</f>
        <v>.640 Mbps</v>
      </c>
    </row>
    <row r="112" spans="1:19" ht="14.4" x14ac:dyDescent="0.2">
      <c r="A112" s="401"/>
      <c r="B112" s="402"/>
      <c r="D112" s="100">
        <v>4</v>
      </c>
      <c r="E112" s="95" t="s">
        <v>176</v>
      </c>
      <c r="F112" s="390" t="str">
        <f>VLOOKUP($E112,'Planes y paquetes'!$C$102:$H$143,F$73,FALSE)</f>
        <v>Renta Mensual</v>
      </c>
      <c r="G112" s="390">
        <f>VLOOKUP($E112,'Planes y paquetes'!$C$102:$H$143,G$73,FALSE)</f>
        <v>328.44</v>
      </c>
      <c r="H112" s="391">
        <f t="shared" si="6"/>
        <v>149.00119394431442</v>
      </c>
      <c r="I112" s="391">
        <f t="shared" si="7"/>
        <v>112.59917587393589</v>
      </c>
      <c r="J112" s="391">
        <f t="shared" si="8"/>
        <v>30.208657851838435</v>
      </c>
      <c r="K112" s="391">
        <f t="shared" si="9"/>
        <v>55.742166274225681</v>
      </c>
      <c r="L112" s="583">
        <v>262.23992593717492</v>
      </c>
      <c r="M112" s="403">
        <f t="shared" si="10"/>
        <v>286.20633686213256</v>
      </c>
      <c r="N112" s="404">
        <f t="shared" si="12"/>
        <v>0.12858867110543004</v>
      </c>
      <c r="O112" s="296"/>
      <c r="P112" s="404">
        <f t="shared" si="11"/>
        <v>0.64148071662962936</v>
      </c>
      <c r="Q112" s="405">
        <f>VLOOKUP(E112,Mercado!$E$67:$O$100,11,0)</f>
        <v>4967518.993738519</v>
      </c>
      <c r="R112" t="str">
        <f>IFERROR(VLOOKUP($E112,'Planes y paquetes'!$C$391:$P$432,R$107,FALSE),"")</f>
        <v>80 Mbps</v>
      </c>
      <c r="S112" t="str">
        <f>IFERROR(VLOOKUP($E112,'Planes y paquetes'!$C$391:$P$432,S$107,FALSE),"")</f>
        <v>80 Mbps</v>
      </c>
    </row>
    <row r="113" spans="1:26" ht="14.4" x14ac:dyDescent="0.2">
      <c r="A113" s="401"/>
      <c r="B113" s="402"/>
      <c r="D113" s="100">
        <v>5</v>
      </c>
      <c r="E113" s="95" t="s">
        <v>179</v>
      </c>
      <c r="F113" s="390" t="str">
        <f>VLOOKUP($E113,'Planes y paquetes'!$C$102:$H$143,F$73,FALSE)</f>
        <v>Renta Mensual</v>
      </c>
      <c r="G113" s="390">
        <f>VLOOKUP($E113,'Planes y paquetes'!$C$102:$H$143,G$73,FALSE)</f>
        <v>367.29</v>
      </c>
      <c r="H113" s="391">
        <f t="shared" si="6"/>
        <v>145.03540903540903</v>
      </c>
      <c r="I113" s="391">
        <f t="shared" si="7"/>
        <v>111.78842464489948</v>
      </c>
      <c r="J113" s="391">
        <f t="shared" si="8"/>
        <v>26.420771075447337</v>
      </c>
      <c r="K113" s="391">
        <f t="shared" si="9"/>
        <v>55.340804279653206</v>
      </c>
      <c r="L113" s="583">
        <v>290.04051845463908</v>
      </c>
      <c r="M113" s="403">
        <f t="shared" si="10"/>
        <v>278.82177169492093</v>
      </c>
      <c r="N113" s="404">
        <f t="shared" si="12"/>
        <v>0.24086751151700048</v>
      </c>
      <c r="O113" s="296"/>
      <c r="P113" s="404">
        <f t="shared" si="11"/>
        <v>2.5199895331777068E-2</v>
      </c>
      <c r="Q113" s="405">
        <f>VLOOKUP(E113,Mercado!$E$67:$O$100,11,0)</f>
        <v>195143.75951709354</v>
      </c>
      <c r="R113" t="str">
        <f>IFERROR(VLOOKUP($E113,'Planes y paquetes'!$C$391:$P$432,R$107,FALSE),"")</f>
        <v>100 Mbps</v>
      </c>
      <c r="S113" t="str">
        <f>IFERROR(VLOOKUP($E113,'Planes y paquetes'!$C$391:$P$432,S$107,FALSE),"")</f>
        <v>100 Mbps</v>
      </c>
    </row>
    <row r="114" spans="1:26" ht="14.4" x14ac:dyDescent="0.2">
      <c r="A114" s="401"/>
      <c r="B114" s="402"/>
      <c r="D114" s="100">
        <v>6</v>
      </c>
      <c r="E114" s="95" t="s">
        <v>181</v>
      </c>
      <c r="F114" s="390" t="str">
        <f>VLOOKUP($E114,'Planes y paquetes'!$C$102:$H$143,F$73,FALSE)</f>
        <v>Renta Mensual</v>
      </c>
      <c r="G114" s="390">
        <f>VLOOKUP($E114,'Planes y paquetes'!$C$102:$H$143,G$73,FALSE)</f>
        <v>421.32</v>
      </c>
      <c r="H114" s="391">
        <f t="shared" si="6"/>
        <v>208.62453851392522</v>
      </c>
      <c r="I114" s="391">
        <f t="shared" si="7"/>
        <v>110.94719977447849</v>
      </c>
      <c r="J114" s="391">
        <f t="shared" si="8"/>
        <v>22.678443901522272</v>
      </c>
      <c r="K114" s="391">
        <f t="shared" si="9"/>
        <v>54.924356323999248</v>
      </c>
      <c r="L114" s="583">
        <v>328.84181792534559</v>
      </c>
      <c r="M114" s="403">
        <f t="shared" si="10"/>
        <v>319.73544221719629</v>
      </c>
      <c r="N114" s="404">
        <f t="shared" si="12"/>
        <v>0.24111021974462099</v>
      </c>
      <c r="O114" s="296"/>
      <c r="P114" s="404">
        <f t="shared" si="11"/>
        <v>5.2500333397227449E-2</v>
      </c>
      <c r="Q114" s="405">
        <f>VLOOKUP(E114,Mercado!$E$67:$O$100,11,0)</f>
        <v>406553.76937683951</v>
      </c>
      <c r="R114" t="str">
        <f>IFERROR(VLOOKUP($E114,'Planes y paquetes'!$C$391:$P$432,R$107,FALSE),"")</f>
        <v>150 Mbps</v>
      </c>
      <c r="S114" t="str">
        <f>IFERROR(VLOOKUP($E114,'Planes y paquetes'!$C$391:$P$432,S$107,FALSE),"")</f>
        <v>150 Mbps</v>
      </c>
    </row>
    <row r="115" spans="1:26" ht="14.4" x14ac:dyDescent="0.2">
      <c r="A115" s="401"/>
      <c r="B115" s="402"/>
      <c r="D115" s="100">
        <v>7</v>
      </c>
      <c r="E115" s="95" t="s">
        <v>183</v>
      </c>
      <c r="F115" s="390" t="str">
        <f>VLOOKUP($E115,'Planes y paquetes'!$C$102:$H$143,F$73,FALSE)</f>
        <v>Renta Mensual</v>
      </c>
      <c r="G115" s="390">
        <f>VLOOKUP($E115,'Planes y paquetes'!$C$102:$H$143,G$73,FALSE)</f>
        <v>505.76</v>
      </c>
      <c r="H115" s="391">
        <f t="shared" si="6"/>
        <v>318.26891955040708</v>
      </c>
      <c r="I115" s="391">
        <f t="shared" si="7"/>
        <v>113.22693269059097</v>
      </c>
      <c r="J115" s="391">
        <f t="shared" si="8"/>
        <v>33.270130333868948</v>
      </c>
      <c r="K115" s="391">
        <f t="shared" si="9"/>
        <v>56.052936975540078</v>
      </c>
      <c r="L115" s="583">
        <v>391.53472837868287</v>
      </c>
      <c r="M115" s="403">
        <f t="shared" si="10"/>
        <v>410.86265567951409</v>
      </c>
      <c r="N115" s="404">
        <f t="shared" si="12"/>
        <v>0.18763315469884112</v>
      </c>
      <c r="O115" s="296"/>
      <c r="P115" s="404">
        <f t="shared" si="11"/>
        <v>5.0957565066296416E-2</v>
      </c>
      <c r="Q115" s="405">
        <f>VLOOKUP(E115,Mercado!$E$67:$O$100,11,0)</f>
        <v>394606.83038371778</v>
      </c>
      <c r="R115" t="str">
        <f>IFERROR(VLOOKUP($E115,'Planes y paquetes'!$C$391:$P$432,R$107,FALSE),"")</f>
        <v>250 Mbps</v>
      </c>
      <c r="S115" t="str">
        <f>IFERROR(VLOOKUP($E115,'Planes y paquetes'!$C$391:$P$432,S$107,FALSE),"")</f>
        <v>250 Mbps</v>
      </c>
    </row>
    <row r="116" spans="1:26" ht="14.4" x14ac:dyDescent="0.2">
      <c r="A116" s="401"/>
      <c r="B116" s="402"/>
      <c r="D116" s="100">
        <v>8</v>
      </c>
      <c r="E116" s="95" t="s">
        <v>186</v>
      </c>
      <c r="F116" s="390" t="str">
        <f>VLOOKUP($E116,'Planes y paquetes'!$C$102:$H$143,F$73,FALSE)</f>
        <v>Renta Mensual</v>
      </c>
      <c r="G116" s="390">
        <f>VLOOKUP($E116,'Planes y paquetes'!$C$102:$H$143,G$73,FALSE)</f>
        <v>547.98</v>
      </c>
      <c r="H116" s="391">
        <f t="shared" si="6"/>
        <v>345.21330867073146</v>
      </c>
      <c r="I116" s="391">
        <f t="shared" si="7"/>
        <v>113.986853183652</v>
      </c>
      <c r="J116" s="391">
        <f t="shared" si="8"/>
        <v>37.134011576916329</v>
      </c>
      <c r="K116" s="391">
        <f t="shared" si="9"/>
        <v>56.42913523943168</v>
      </c>
      <c r="L116" s="583">
        <v>421.96007371234884</v>
      </c>
      <c r="M116" s="403">
        <f t="shared" si="10"/>
        <v>434.67621193922525</v>
      </c>
      <c r="N116" s="404">
        <f t="shared" si="12"/>
        <v>0.2067662835519084</v>
      </c>
      <c r="O116" s="296"/>
      <c r="P116" s="404">
        <f t="shared" si="11"/>
        <v>2.3351489508894947E-2</v>
      </c>
      <c r="Q116" s="405">
        <f>VLOOKUP(E116,Mercado!$E$67:$O$100,11,0)</f>
        <v>180830.01508912939</v>
      </c>
      <c r="R116" t="str">
        <f>IFERROR(VLOOKUP($E116,'Planes y paquetes'!$C$391:$P$432,R$107,FALSE),"")</f>
        <v>350 Mbps</v>
      </c>
      <c r="S116" t="str">
        <f>IFERROR(VLOOKUP($E116,'Planes y paquetes'!$C$391:$P$432,S$107,FALSE),"")</f>
        <v>350 Mbps</v>
      </c>
    </row>
    <row r="117" spans="1:26" ht="14.4" x14ac:dyDescent="0.2">
      <c r="A117" s="401"/>
      <c r="B117" s="402"/>
      <c r="D117" s="100">
        <v>9</v>
      </c>
      <c r="E117" s="166" t="s">
        <v>1036</v>
      </c>
      <c r="F117" s="249" t="s">
        <v>677</v>
      </c>
      <c r="G117" s="249">
        <f>'Planes y paquetes'!G110</f>
        <v>612.14</v>
      </c>
      <c r="H117" s="391">
        <f t="shared" si="6"/>
        <v>464.0402812744162</v>
      </c>
      <c r="I117" s="391">
        <f t="shared" si="7"/>
        <v>113.53413401879099</v>
      </c>
      <c r="J117" s="391">
        <f t="shared" si="8"/>
        <v>34.810849140223361</v>
      </c>
      <c r="K117" s="391">
        <f t="shared" si="9"/>
        <v>56.205016840985635</v>
      </c>
      <c r="L117" s="583">
        <v>468.22344719641615</v>
      </c>
      <c r="M117" s="403">
        <f t="shared" si="10"/>
        <v>516.90068120791045</v>
      </c>
      <c r="N117" s="404">
        <f t="shared" si="12"/>
        <v>0.15558421078852802</v>
      </c>
      <c r="O117" s="296"/>
      <c r="P117" s="404">
        <f t="shared" si="11"/>
        <v>1.0648522380123087E-3</v>
      </c>
      <c r="Q117" s="405">
        <f>VLOOKUP(E117,Mercado!$E$67:$O$100,11,0)</f>
        <v>8246.0369902361435</v>
      </c>
      <c r="R117" t="str">
        <f>IFERROR(VLOOKUP($E117,'Planes y paquetes'!$C$391:$P$432,R$107,FALSE),"")</f>
        <v>500 Mbps</v>
      </c>
      <c r="S117" t="str">
        <f>IFERROR(VLOOKUP($E117,'Planes y paquetes'!$C$391:$P$432,S$107,FALSE),"")</f>
        <v>350 Mbps</v>
      </c>
    </row>
    <row r="118" spans="1:26" ht="14.4" x14ac:dyDescent="0.2">
      <c r="A118" s="401"/>
      <c r="B118" s="402"/>
      <c r="D118" s="100">
        <v>10</v>
      </c>
      <c r="E118" s="95" t="s">
        <v>188</v>
      </c>
      <c r="F118" s="390" t="str">
        <f>VLOOKUP($E118,'Planes y paquetes'!$C$102:$H$143,F$73,FALSE)</f>
        <v>Renta Mensual</v>
      </c>
      <c r="G118" s="390">
        <f>VLOOKUP($E118,'Planes y paquetes'!$C$102:$H$143,G$73,FALSE)</f>
        <v>843.5</v>
      </c>
      <c r="H118" s="391">
        <f t="shared" si="6"/>
        <v>457.04813060246909</v>
      </c>
      <c r="I118" s="391">
        <f t="shared" ref="I118:I123" si="13">INDEX(vector.implicit.prices.line.rental.after.discount,MATCH($E118,vector.plans.names,0))</f>
        <v>112.2784254698048</v>
      </c>
      <c r="J118" s="391">
        <f t="shared" ref="J118:J123" si="14">INDEX(vector.implicit.prices.voice.after.discount,MATCH($E118,vector.plans.names,0))</f>
        <v>28.688195584747312</v>
      </c>
      <c r="K118" s="391">
        <f t="shared" ref="K118:K123" si="15">INDEX(vector.implicit.prices.digitalservices.after.discount,MATCH(E118,vector.plans.names,0))</f>
        <v>55.583378945447919</v>
      </c>
      <c r="L118" s="583">
        <v>632.86156378545047</v>
      </c>
      <c r="M118" s="403">
        <f t="shared" ref="M118:M123" si="16">H118*(1-Retail.minus.int.retail.minus.items.only)+I118*(1-Retail.minus.line.rental.retail.minus.items.only)+J118*(1-Retail.minus.additional.calls.retail.minus.items.only)+K118*(1-Retail.minus.additional.calls.retail.minus.items.only)</f>
        <v>504.62238287528015</v>
      </c>
      <c r="N118" s="404">
        <f t="shared" si="12"/>
        <v>0.40175176896825116</v>
      </c>
      <c r="O118" s="296"/>
      <c r="P118" s="404">
        <f t="shared" si="11"/>
        <v>6.5118170670443037E-3</v>
      </c>
      <c r="Q118" s="405">
        <f>VLOOKUP(E118,Mercado!$E$67:$O$100,11,0)</f>
        <v>50426.418325166429</v>
      </c>
      <c r="R118" t="str">
        <f>IFERROR(VLOOKUP($E118,'Planes y paquetes'!$C$391:$P$432,R$107,FALSE),"")</f>
        <v>750 Mbps</v>
      </c>
      <c r="S118" t="str">
        <f>IFERROR(VLOOKUP($E118,'Planes y paquetes'!$C$391:$P$432,S$107,FALSE),"")</f>
        <v>300 Mbps</v>
      </c>
    </row>
    <row r="119" spans="1:26" ht="14.4" x14ac:dyDescent="0.2">
      <c r="A119" s="401"/>
      <c r="B119" s="402"/>
      <c r="D119" s="100">
        <v>11</v>
      </c>
      <c r="E119" s="95" t="s">
        <v>190</v>
      </c>
      <c r="F119" s="390" t="str">
        <f>VLOOKUP($E119,'Planes y paquetes'!$C$102:$H$143,F$73,FALSE)</f>
        <v>Renta Mensual</v>
      </c>
      <c r="G119" s="390">
        <f>VLOOKUP($E119,'Planes y paquetes'!$C$102:$H$143,G$73,FALSE)</f>
        <v>1181.23</v>
      </c>
      <c r="H119" s="391">
        <f t="shared" si="6"/>
        <v>970.76296099031845</v>
      </c>
      <c r="I119" s="391">
        <f t="shared" si="13"/>
        <v>108.79316079511909</v>
      </c>
      <c r="J119" s="391">
        <f t="shared" si="14"/>
        <v>13.898838811257628</v>
      </c>
      <c r="K119" s="391">
        <f t="shared" si="15"/>
        <v>53.858000393623307</v>
      </c>
      <c r="L119" s="583">
        <v>873.51111543886611</v>
      </c>
      <c r="M119" s="403">
        <f t="shared" si="16"/>
        <v>853.70475397238613</v>
      </c>
      <c r="N119" s="404">
        <f t="shared" si="12"/>
        <v>0.27727474414602904</v>
      </c>
      <c r="O119" s="296"/>
      <c r="P119" s="404">
        <f t="shared" si="11"/>
        <v>2.1049169950260161E-3</v>
      </c>
      <c r="Q119" s="405">
        <f>VLOOKUP(E119,Mercado!$E$67:$O$100,11,0)</f>
        <v>16300.123888325437</v>
      </c>
      <c r="R119" t="str">
        <f>IFERROR(VLOOKUP($E119,'Planes y paquetes'!$C$391:$P$432,R$107,FALSE),"")</f>
        <v>1000 Mbps</v>
      </c>
      <c r="S119" t="str">
        <f>IFERROR(VLOOKUP($E119,'Planes y paquetes'!$C$391:$P$432,S$107,FALSE),"")</f>
        <v>350 Mbps</v>
      </c>
    </row>
    <row r="120" spans="1:26" ht="14.4" x14ac:dyDescent="0.2">
      <c r="A120" s="401"/>
      <c r="B120" s="402"/>
      <c r="D120" s="100">
        <v>12</v>
      </c>
      <c r="E120" s="95" t="s">
        <v>194</v>
      </c>
      <c r="F120" s="390" t="str">
        <f>VLOOKUP($E120,'Planes y paquetes'!$C$102:$H$143,F$73,FALSE)</f>
        <v>Renta Mensual</v>
      </c>
      <c r="G120" s="390">
        <f>VLOOKUP($E120,'Planes y paquetes'!$C$102:$H$143,G$73,FALSE)</f>
        <v>336.9</v>
      </c>
      <c r="H120" s="391">
        <f t="shared" si="6"/>
        <v>118</v>
      </c>
      <c r="I120" s="391">
        <f t="shared" si="13"/>
        <v>145.72277227722773</v>
      </c>
      <c r="J120" s="391">
        <f t="shared" si="14"/>
        <v>18.399339933993399</v>
      </c>
      <c r="K120" s="391">
        <f t="shared" si="15"/>
        <v>58.877887788778878</v>
      </c>
      <c r="L120" s="583">
        <v>285.25451380056427</v>
      </c>
      <c r="M120" s="403">
        <f t="shared" si="16"/>
        <v>285.93566016571145</v>
      </c>
      <c r="N120" s="404">
        <f t="shared" si="12"/>
        <v>0.15127438359836309</v>
      </c>
      <c r="O120" s="296"/>
      <c r="P120" s="404">
        <f t="shared" si="11"/>
        <v>8.4070835666740062E-2</v>
      </c>
      <c r="Q120" s="405">
        <f>VLOOKUP(E120,Mercado!$E$67:$O$100,11,0)</f>
        <v>651030.4396805797</v>
      </c>
      <c r="R120" t="str">
        <f>IFERROR(VLOOKUP($E120,'Planes y paquetes'!$C$391:$P$432,R$107,FALSE),"")</f>
        <v>80 Mbps</v>
      </c>
      <c r="S120" t="str">
        <f>IFERROR(VLOOKUP($E120,'Planes y paquetes'!$C$391:$P$432,S$107,FALSE),"")</f>
        <v>80 Mbps</v>
      </c>
    </row>
    <row r="121" spans="1:26" ht="14.4" x14ac:dyDescent="0.2">
      <c r="A121" s="401"/>
      <c r="B121" s="402"/>
      <c r="D121" s="100">
        <v>13</v>
      </c>
      <c r="E121" s="95" t="s">
        <v>196</v>
      </c>
      <c r="F121" s="390" t="str">
        <f>VLOOKUP($E121,'Planes y paquetes'!$C$102:$H$143,F$73,FALSE)</f>
        <v>Renta Mensual</v>
      </c>
      <c r="G121" s="390">
        <f>VLOOKUP($E121,'Planes y paquetes'!$C$102:$H$143,G$73,FALSE)</f>
        <v>463.55</v>
      </c>
      <c r="H121" s="391">
        <f t="shared" si="6"/>
        <v>296</v>
      </c>
      <c r="I121" s="391">
        <f t="shared" si="13"/>
        <v>148.03154574132492</v>
      </c>
      <c r="J121" s="391">
        <f t="shared" si="14"/>
        <v>29.157728706624606</v>
      </c>
      <c r="K121" s="391">
        <f t="shared" si="15"/>
        <v>59.810725552050471</v>
      </c>
      <c r="L121" s="583">
        <v>378.36410347054289</v>
      </c>
      <c r="M121" s="403">
        <f t="shared" si="16"/>
        <v>425.93284748411838</v>
      </c>
      <c r="N121" s="404">
        <f t="shared" si="12"/>
        <v>8.1150151042782115E-2</v>
      </c>
      <c r="O121" s="296"/>
      <c r="P121" s="404">
        <f t="shared" si="11"/>
        <v>3.936431439453885E-2</v>
      </c>
      <c r="Q121" s="405">
        <f>VLOOKUP(E121,Mercado!$E$67:$O$100,11,0)</f>
        <v>304830.64316844719</v>
      </c>
      <c r="R121" t="str">
        <f>IFERROR(VLOOKUP($E121,'Planes y paquetes'!$C$391:$P$432,R$107,FALSE),"")</f>
        <v>150 Mbps</v>
      </c>
      <c r="S121" t="str">
        <f>IFERROR(VLOOKUP($E121,'Planes y paquetes'!$C$391:$P$432,S$107,FALSE),"")</f>
        <v>150 Mbps</v>
      </c>
    </row>
    <row r="122" spans="1:26" ht="14.4" x14ac:dyDescent="0.2">
      <c r="A122" s="401"/>
      <c r="B122" s="402"/>
      <c r="D122" s="100">
        <v>14</v>
      </c>
      <c r="E122" s="95" t="s">
        <v>198</v>
      </c>
      <c r="F122" s="390" t="str">
        <f>VLOOKUP($E122,'Planes y paquetes'!$C$102:$H$143,F$73,FALSE)</f>
        <v>Renta Mensual</v>
      </c>
      <c r="G122" s="390">
        <f>VLOOKUP($E122,'Planes y paquetes'!$C$102:$H$143,G$73,FALSE)</f>
        <v>547.98</v>
      </c>
      <c r="H122" s="391">
        <f t="shared" si="6"/>
        <v>367</v>
      </c>
      <c r="I122" s="391">
        <f t="shared" si="13"/>
        <v>149.41104294478527</v>
      </c>
      <c r="J122" s="391">
        <f t="shared" si="14"/>
        <v>36.220858895705518</v>
      </c>
      <c r="K122" s="391">
        <f t="shared" si="15"/>
        <v>60.368098159509202</v>
      </c>
      <c r="L122" s="583">
        <v>440.88248035131716</v>
      </c>
      <c r="M122" s="403">
        <f t="shared" si="16"/>
        <v>484.88338146944955</v>
      </c>
      <c r="N122" s="404">
        <f t="shared" si="12"/>
        <v>0.11514401717316414</v>
      </c>
      <c r="O122" s="296"/>
      <c r="P122" s="404">
        <f t="shared" si="11"/>
        <v>2.2125911206307999E-3</v>
      </c>
      <c r="Q122" s="405">
        <f>VLOOKUP(E122,Mercado!$E$67:$O$100,11,0)</f>
        <v>17133.934243352476</v>
      </c>
      <c r="R122" t="str">
        <f>IFERROR(VLOOKUP($E122,'Planes y paquetes'!$C$391:$P$432,R$107,FALSE),"")</f>
        <v>250 Mbps</v>
      </c>
      <c r="S122" t="str">
        <f>IFERROR(VLOOKUP($E122,'Planes y paquetes'!$C$391:$P$432,S$107,FALSE),"")</f>
        <v>250 Mbps</v>
      </c>
    </row>
    <row r="123" spans="1:26" ht="14.4" x14ac:dyDescent="0.2">
      <c r="A123" s="401"/>
      <c r="B123" s="402"/>
      <c r="D123" s="100">
        <v>15</v>
      </c>
      <c r="E123" s="95" t="s">
        <v>200</v>
      </c>
      <c r="F123" s="390" t="str">
        <f>VLOOKUP($E123,'Planes y paquetes'!$C$102:$H$143,F$73,FALSE)</f>
        <v>Renta Mensual</v>
      </c>
      <c r="G123" s="390">
        <f>VLOOKUP($E123,'Planes y paquetes'!$C$102:$H$143,G$73,FALSE)</f>
        <v>674.64</v>
      </c>
      <c r="H123" s="391">
        <f t="shared" si="6"/>
        <v>449</v>
      </c>
      <c r="I123" s="391">
        <f t="shared" si="13"/>
        <v>149.70731707317074</v>
      </c>
      <c r="J123" s="391">
        <f t="shared" si="14"/>
        <v>37.804878048780488</v>
      </c>
      <c r="K123" s="391">
        <f t="shared" si="15"/>
        <v>60.487804878048777</v>
      </c>
      <c r="L123" s="583">
        <v>532.49342947277853</v>
      </c>
      <c r="M123" s="403">
        <f t="shared" si="16"/>
        <v>545.32869369614275</v>
      </c>
      <c r="N123" s="404">
        <f t="shared" si="12"/>
        <v>0.19167453205243867</v>
      </c>
      <c r="O123" s="296"/>
      <c r="P123" s="404">
        <f t="shared" si="11"/>
        <v>2.5796477283956072E-2</v>
      </c>
      <c r="Q123" s="405">
        <f>VLOOKUP(E123,Mercado!$E$67:$O$100,11,0)</f>
        <v>199763.59001541522</v>
      </c>
      <c r="R123" t="str">
        <f>IFERROR(VLOOKUP($E123,'Planes y paquetes'!$C$391:$P$432,R$107,FALSE),"")</f>
        <v>350 Mbps</v>
      </c>
      <c r="S123" t="str">
        <f>IFERROR(VLOOKUP($E123,'Planes y paquetes'!$C$391:$P$432,S$107,FALSE),"")</f>
        <v>350 Mbps</v>
      </c>
    </row>
    <row r="124" spans="1:26" ht="14.4" x14ac:dyDescent="0.2">
      <c r="A124" s="401"/>
      <c r="B124" s="402"/>
      <c r="D124" s="100">
        <v>16</v>
      </c>
      <c r="E124" s="95" t="s">
        <v>202</v>
      </c>
      <c r="F124" s="390" t="str">
        <f>VLOOKUP($E124,'Planes y paquetes'!$C$102:$H$143,F$73,FALSE)</f>
        <v>Renta Mensual</v>
      </c>
      <c r="G124" s="390">
        <f>VLOOKUP($E124,'Planes y paquetes'!$C$102:$H$143,G$73,FALSE)</f>
        <v>843.5</v>
      </c>
      <c r="H124" s="391">
        <f t="shared" si="6"/>
        <v>524</v>
      </c>
      <c r="I124" s="391">
        <f>INDEX(vector.implicit.prices.line.rental.after.discount,MATCH($E124,vector.plans.names,0))</f>
        <v>147.55414012738854</v>
      </c>
      <c r="J124" s="391">
        <f>INDEX(vector.implicit.prices.voice.after.discount,MATCH($E124,vector.plans.names,0))</f>
        <v>26.828025477707005</v>
      </c>
      <c r="K124" s="391">
        <f>INDEX(vector.implicit.prices.digitalservices.after.discount,MATCH(E124,vector.plans.names,0))</f>
        <v>59.617834394904456</v>
      </c>
      <c r="L124" s="583">
        <v>652.03312292038299</v>
      </c>
      <c r="M124" s="403">
        <f>H124*(1-Retail.minus.int.retail.minus.items.only)+I124*(1-Retail.minus.line.rental.retail.minus.items.only)+J124*(1-Retail.minus.additional.calls.retail.minus.items.only)+K124*(1-Retail.minus.additional.calls.retail.minus.items.only)</f>
        <v>586.21003281382866</v>
      </c>
      <c r="N124" s="404">
        <f t="shared" si="12"/>
        <v>0.30502663566825294</v>
      </c>
      <c r="O124" s="296"/>
      <c r="P124" s="404">
        <f t="shared" si="11"/>
        <v>9.1702463640074114E-4</v>
      </c>
      <c r="Q124" s="405">
        <f>VLOOKUP(E124,Mercado!$E$67:$O$100,11,0)</f>
        <v>7101.2848569802736</v>
      </c>
      <c r="R124" t="str">
        <f>IFERROR(VLOOKUP($E124,'Planes y paquetes'!$C$391:$P$432,R$107,FALSE),"")</f>
        <v>500 Mbps</v>
      </c>
      <c r="S124" t="str">
        <f>IFERROR(VLOOKUP($E124,'Planes y paquetes'!$C$391:$P$432,S$107,FALSE),"")</f>
        <v>350 Mbps</v>
      </c>
    </row>
    <row r="125" spans="1:26" ht="14.4" x14ac:dyDescent="0.2">
      <c r="A125" s="401"/>
      <c r="B125" s="402"/>
      <c r="D125" s="100">
        <v>17</v>
      </c>
      <c r="E125" s="95" t="s">
        <v>203</v>
      </c>
      <c r="F125" s="390" t="str">
        <f>VLOOKUP($E125,'Planes y paquetes'!$C$102:$H$143,F$73,FALSE)</f>
        <v>Renta Mensual</v>
      </c>
      <c r="G125" s="390">
        <f>VLOOKUP($E125,'Planes y paquetes'!$C$102:$H$143,G$73,FALSE)</f>
        <v>1265.6600000000001</v>
      </c>
      <c r="H125" s="391">
        <f t="shared" si="6"/>
        <v>782</v>
      </c>
      <c r="I125" s="391">
        <f>INDEX(vector.implicit.prices.line.rental.after.discount,MATCH($E125,vector.plans.names,0))</f>
        <v>150.85714285714286</v>
      </c>
      <c r="J125" s="391">
        <f>INDEX(vector.implicit.prices.voice.after.discount,MATCH($E125,vector.plans.names,0))</f>
        <v>44.19047619047619</v>
      </c>
      <c r="K125" s="391">
        <f>INDEX(vector.implicit.prices.digitalservices.after.discount,MATCH(E125,vector.plans.names,0))</f>
        <v>60.952380952380949</v>
      </c>
      <c r="L125" s="583">
        <v>961.92563652515275</v>
      </c>
      <c r="M125" s="403">
        <f>H125*(1-Retail.minus.int.retail.minus.items.only)+I125*(1-Retail.minus.line.rental.retail.minus.items.only)+J125*(1-Retail.minus.additional.calls.retail.minus.items.only)+K125*(1-Retail.minus.additional.calls.retail.minus.items.only)</f>
        <v>790.68508057116549</v>
      </c>
      <c r="N125" s="404">
        <f t="shared" si="12"/>
        <v>0.37527844715708369</v>
      </c>
      <c r="O125" s="296"/>
      <c r="P125" s="404">
        <f t="shared" si="11"/>
        <v>5.3064276630082506E-3</v>
      </c>
      <c r="Q125" s="405">
        <f>VLOOKUP(E125,Mercado!$E$67:$O$100,11,0)</f>
        <v>41092.08511112936</v>
      </c>
      <c r="R125" t="str">
        <f>IFERROR(VLOOKUP($E125,'Planes y paquetes'!$C$391:$P$432,R$107,FALSE),"")</f>
        <v>750 Mbps</v>
      </c>
      <c r="S125" t="str">
        <f>IFERROR(VLOOKUP($E125,'Planes y paquetes'!$C$391:$P$432,S$107,FALSE),"")</f>
        <v>350 Mbps</v>
      </c>
    </row>
    <row r="126" spans="1:26" ht="14.4" x14ac:dyDescent="0.2">
      <c r="A126" s="401"/>
      <c r="B126" s="402"/>
      <c r="D126" s="100">
        <v>18</v>
      </c>
      <c r="E126" s="95" t="s">
        <v>204</v>
      </c>
      <c r="F126" s="390" t="str">
        <f>VLOOKUP($E126,'Planes y paquetes'!$C$102:$H$143,F$73,FALSE)</f>
        <v>Renta Mensual</v>
      </c>
      <c r="G126" s="390">
        <f>VLOOKUP($E126,'Planes y paquetes'!$C$102:$H$143,G$73,FALSE)</f>
        <v>1510.52</v>
      </c>
      <c r="H126" s="391">
        <f t="shared" si="6"/>
        <v>1205</v>
      </c>
      <c r="I126" s="391">
        <f>INDEX(vector.implicit.prices.line.rental.after.discount,MATCH($E126,vector.plans.names,0))</f>
        <v>151.95348837209303</v>
      </c>
      <c r="J126" s="391">
        <f>INDEX(vector.implicit.prices.voice.after.discount,MATCH($E126,vector.plans.names,0))</f>
        <v>50.651162790697676</v>
      </c>
      <c r="K126" s="391">
        <f>INDEX(vector.implicit.prices.digitalservices.after.discount,MATCH(E126,vector.plans.names,0))</f>
        <v>61.395348837209305</v>
      </c>
      <c r="L126" s="583">
        <v>1137.3636553019096</v>
      </c>
      <c r="M126" s="403">
        <f>H126*(1-Retail.minus.int.retail.minus.items.only)+I126*(1-Retail.minus.line.rental.retail.minus.items.only)+J126*(1-Retail.minus.additional.calls.retail.minus.items.only)+K126*(1-Retail.minus.additional.calls.retail.minus.items.only)</f>
        <v>1100.3869228580822</v>
      </c>
      <c r="N126" s="404">
        <f t="shared" si="12"/>
        <v>0.27151780654471158</v>
      </c>
      <c r="O126" s="296"/>
      <c r="P126" s="404">
        <f t="shared" si="11"/>
        <v>2.2656430596006568E-3</v>
      </c>
      <c r="Q126" s="405">
        <f>VLOOKUP(E126,Mercado!$E$67:$O$100,11,0)</f>
        <v>17544.759553693922</v>
      </c>
      <c r="R126" t="str">
        <f>IFERROR(VLOOKUP($E126,'Planes y paquetes'!$C$391:$P$432,R$107,FALSE),"")</f>
        <v>750 Mbps</v>
      </c>
      <c r="S126" t="str">
        <f>IFERROR(VLOOKUP($E126,'Planes y paquetes'!$C$391:$P$432,S$107,FALSE),"")</f>
        <v>350 Mbps</v>
      </c>
    </row>
    <row r="127" spans="1:26" ht="15" thickBot="1" x14ac:dyDescent="0.25">
      <c r="A127" s="401"/>
      <c r="B127" s="402"/>
      <c r="D127" s="100">
        <v>19</v>
      </c>
      <c r="E127" s="95" t="s">
        <v>205</v>
      </c>
      <c r="F127" s="390" t="str">
        <f>VLOOKUP($E127,'Planes y paquetes'!$C$102:$H$143,F$73,FALSE)</f>
        <v>Renta Mensual</v>
      </c>
      <c r="G127" s="390">
        <f>VLOOKUP($E127,'Planes y paquetes'!$C$102:$H$143,G$73,FALSE)</f>
        <v>1932.69</v>
      </c>
      <c r="H127" s="391">
        <f t="shared" si="6"/>
        <v>1920</v>
      </c>
      <c r="I127" s="391">
        <f>INDEX(vector.implicit.prices.line.rental.after.discount,MATCH($E127,vector.plans.names,0))</f>
        <v>148.5</v>
      </c>
      <c r="J127" s="391">
        <f>INDEX(vector.implicit.prices.voice.after.discount,MATCH($E127,vector.plans.names,0))</f>
        <v>31.5</v>
      </c>
      <c r="K127" s="391">
        <f>INDEX(vector.implicit.prices.digitalservices.after.discount,MATCH(E127,vector.plans.names,0))</f>
        <v>60</v>
      </c>
      <c r="L127" s="583">
        <v>1442.7309509154879</v>
      </c>
      <c r="M127" s="403">
        <f>H127*(1-Retail.minus.int.retail.minus.items.only)+I127*(1-Retail.minus.line.rental.retail.minus.items.only)+J127*(1-Retail.minus.additional.calls.retail.minus.items.only)+K127*(1-Retail.minus.additional.calls.retail.minus.items.only)</f>
        <v>1589.7289496664587</v>
      </c>
      <c r="N127" s="404">
        <f t="shared" si="12"/>
        <v>0.17745269563848387</v>
      </c>
      <c r="O127" s="296"/>
      <c r="P127" s="404">
        <f t="shared" si="11"/>
        <v>2.3627740937399722E-3</v>
      </c>
      <c r="Q127" s="405">
        <f>VLOOKUP(E127,Mercado!$E$67:$O$100,11,0)</f>
        <v>18296.925978124564</v>
      </c>
      <c r="R127" t="str">
        <f>IFERROR(VLOOKUP($E127,'Planes y paquetes'!$C$391:$P$432,R$107,FALSE),"")</f>
        <v>1000 Mbps</v>
      </c>
      <c r="S127" t="str">
        <f>IFERROR(VLOOKUP($E127,'Planes y paquetes'!$C$391:$P$432,S$107,FALSE),"")</f>
        <v>350 Mbps</v>
      </c>
    </row>
    <row r="128" spans="1:26" ht="32.4" customHeight="1" x14ac:dyDescent="0.2">
      <c r="A128" s="406"/>
      <c r="B128" s="407"/>
      <c r="D128" s="490"/>
      <c r="E128" s="490"/>
      <c r="F128" s="491"/>
      <c r="G128" s="492"/>
      <c r="H128" s="492"/>
      <c r="I128" s="492"/>
      <c r="J128" s="492"/>
      <c r="K128" s="492"/>
      <c r="L128" s="492"/>
      <c r="M128" s="584" t="s">
        <v>1078</v>
      </c>
      <c r="N128" s="584"/>
      <c r="O128" s="493"/>
      <c r="P128" s="492"/>
      <c r="Q128" s="492"/>
      <c r="R128" s="492"/>
      <c r="S128" s="493"/>
      <c r="Y128" s="230"/>
      <c r="Z128" s="230"/>
    </row>
    <row r="129" spans="1:19" ht="28.8" customHeight="1" x14ac:dyDescent="0.2">
      <c r="A129" s="401"/>
      <c r="E129" s="217"/>
      <c r="F129" s="217"/>
      <c r="G129" s="217"/>
      <c r="H129" s="217"/>
      <c r="I129" s="217"/>
      <c r="J129" s="217"/>
      <c r="K129" s="217"/>
      <c r="L129" s="217"/>
      <c r="M129" s="578" t="s">
        <v>1077</v>
      </c>
      <c r="N129" s="389" t="s">
        <v>1076</v>
      </c>
      <c r="O129" s="217"/>
      <c r="P129" s="217"/>
      <c r="Q129" s="217"/>
      <c r="S129" s="245"/>
    </row>
    <row r="130" spans="1:19" ht="12" x14ac:dyDescent="0.2">
      <c r="A130" s="401"/>
      <c r="M130" s="582">
        <v>0.19980326713813426</v>
      </c>
      <c r="N130" s="495">
        <f>SUMPRODUCT(N109:N127,P109:P127)/SUM(P109:P127)</f>
        <v>0.14774365212396995</v>
      </c>
      <c r="R130" s="408"/>
      <c r="S130" s="409"/>
    </row>
    <row r="131" spans="1:19" ht="12" x14ac:dyDescent="0.2">
      <c r="A131" s="401"/>
      <c r="E131" s="101" t="s">
        <v>736</v>
      </c>
      <c r="H131" s="577" t="s">
        <v>1075</v>
      </c>
      <c r="I131" s="577"/>
      <c r="S131" s="264"/>
    </row>
    <row r="132" spans="1:19" ht="36" x14ac:dyDescent="0.2">
      <c r="A132" s="401"/>
      <c r="F132" s="100">
        <v>4</v>
      </c>
      <c r="G132" s="100">
        <v>5</v>
      </c>
      <c r="H132" s="578" t="s">
        <v>1077</v>
      </c>
      <c r="I132" s="389" t="s">
        <v>1076</v>
      </c>
      <c r="O132" s="103"/>
      <c r="P132" s="103"/>
      <c r="S132" s="264"/>
    </row>
    <row r="133" spans="1:19" ht="48" x14ac:dyDescent="0.2">
      <c r="A133" s="401"/>
      <c r="E133" s="43" t="s">
        <v>309</v>
      </c>
      <c r="F133" s="43" t="s">
        <v>213</v>
      </c>
      <c r="G133" s="43" t="str">
        <f>"Precio minorista "&amp;Year.selected
&amp;" Sin impuestos"</f>
        <v>Precio minorista 2025 Sin impuestos</v>
      </c>
      <c r="H133" s="43"/>
      <c r="I133" s="43" t="s">
        <v>676</v>
      </c>
      <c r="J133" s="43" t="s">
        <v>215</v>
      </c>
      <c r="K133" s="496"/>
      <c r="L133" s="496"/>
      <c r="M133" s="496"/>
      <c r="N133" s="496"/>
      <c r="O133" s="496"/>
      <c r="P133" s="496"/>
      <c r="Q133" s="496"/>
      <c r="S133" s="264"/>
    </row>
    <row r="134" spans="1:19" ht="12" x14ac:dyDescent="0.2">
      <c r="A134" s="401"/>
      <c r="D134" s="100">
        <f>D133+1</f>
        <v>1</v>
      </c>
      <c r="E134" s="494" t="s">
        <v>1028</v>
      </c>
      <c r="F134" s="249" t="s">
        <v>677</v>
      </c>
      <c r="G134" s="249">
        <f>VLOOKUP($E134,Precios!$C$366:$D$411,2,FALSE)</f>
        <v>301.72000000000003</v>
      </c>
      <c r="H134" s="583">
        <v>217.94391985069393</v>
      </c>
      <c r="I134" s="403">
        <f>G134*(1-Retail.minus.int.retail.minus.items.only)</f>
        <v>215.71239722472004</v>
      </c>
      <c r="O134" s="410"/>
      <c r="P134" s="296"/>
      <c r="S134" s="264"/>
    </row>
    <row r="135" spans="1:19" ht="12" x14ac:dyDescent="0.2">
      <c r="A135" s="401"/>
      <c r="D135" s="100">
        <f t="shared" ref="D135:D137" si="17">D134+1</f>
        <v>2</v>
      </c>
      <c r="E135" s="95" t="s">
        <v>500</v>
      </c>
      <c r="F135" s="390" t="str">
        <f>VLOOKUP($E135,'Planes y paquetes'!$C$102:$H$143,F$73,FALSE)</f>
        <v>Renta Mensual</v>
      </c>
      <c r="G135" s="249">
        <f>VLOOKUP($E135,Precios!$C$366:$D$411,2,FALSE)</f>
        <v>344.83</v>
      </c>
      <c r="H135" s="583">
        <v>249.08392510312467</v>
      </c>
      <c r="I135" s="403">
        <f>G135*(1-Retail.minus.int.retail.minus.items.only)</f>
        <v>246.533560701976</v>
      </c>
      <c r="O135" s="410"/>
      <c r="P135" s="296"/>
      <c r="S135" s="264"/>
    </row>
    <row r="136" spans="1:19" ht="12" x14ac:dyDescent="0.2">
      <c r="A136" s="401"/>
      <c r="D136" s="100">
        <f t="shared" si="17"/>
        <v>3</v>
      </c>
      <c r="E136" s="95" t="s">
        <v>502</v>
      </c>
      <c r="F136" s="390" t="str">
        <f>VLOOKUP($E136,'Planes y paquetes'!$C$102:$H$143,F$73,FALSE)</f>
        <v>Renta Mensual</v>
      </c>
      <c r="G136" s="249">
        <f>VLOOKUP($E136,Precios!$C$366:$D$411,2,FALSE)</f>
        <v>387.94</v>
      </c>
      <c r="H136" s="583">
        <v>280.22393035555547</v>
      </c>
      <c r="I136" s="403">
        <f t="shared" ref="I136:I149" si="18">G136*(1-Retail.minus.int.retail.minus.items.only)</f>
        <v>277.35472417923199</v>
      </c>
      <c r="O136" s="410"/>
      <c r="P136" s="296"/>
      <c r="S136" s="264"/>
    </row>
    <row r="137" spans="1:19" ht="12" x14ac:dyDescent="0.2">
      <c r="A137" s="401"/>
      <c r="D137" s="100">
        <f t="shared" si="17"/>
        <v>4</v>
      </c>
      <c r="E137" s="95" t="s">
        <v>504</v>
      </c>
      <c r="F137" s="390" t="str">
        <f>VLOOKUP($E137,'Planes y paquetes'!$C$102:$H$143,F$73,FALSE)</f>
        <v>Renta Mensual</v>
      </c>
      <c r="G137" s="249">
        <f>VLOOKUP($E137,Precios!$C$366:$D$411,2,FALSE)</f>
        <v>431.03</v>
      </c>
      <c r="H137" s="583">
        <v>311.34948884145757</v>
      </c>
      <c r="I137" s="403">
        <f>G137*(1-Retail.minus.int.retail.minus.items.only)</f>
        <v>308.16158881005919</v>
      </c>
      <c r="O137" s="410"/>
      <c r="P137" s="296"/>
      <c r="S137" s="264"/>
    </row>
    <row r="138" spans="1:19" ht="12" x14ac:dyDescent="0.2">
      <c r="A138" s="401"/>
      <c r="D138" s="100">
        <f t="shared" ref="D138:D149" si="19">D137+1</f>
        <v>5</v>
      </c>
      <c r="E138" s="95" t="s">
        <v>737</v>
      </c>
      <c r="F138" s="390" t="str">
        <f>VLOOKUP($E138,'Planes y paquetes'!$C$191:$J$273,F$16,FALSE)</f>
        <v>Otro (describa el tipo de cobro)</v>
      </c>
      <c r="G138" s="390">
        <f>VLOOKUP($E138,'Planes y paquetes'!$C$191:$J$273,G$16,FALSE)</f>
        <v>25</v>
      </c>
      <c r="H138" s="583">
        <v>18.058458160769415</v>
      </c>
      <c r="I138" s="403">
        <f t="shared" si="18"/>
        <v>17.87355803598701</v>
      </c>
      <c r="O138" s="410"/>
      <c r="P138" s="296"/>
      <c r="S138" s="264"/>
    </row>
    <row r="139" spans="1:19" ht="12" x14ac:dyDescent="0.2">
      <c r="A139" s="401"/>
      <c r="D139" s="100">
        <f t="shared" si="19"/>
        <v>6</v>
      </c>
      <c r="E139" s="95" t="s">
        <v>738</v>
      </c>
      <c r="F139" s="390" t="str">
        <f>VLOOKUP($E139,'Planes y paquetes'!$C$191:$J$273,F$16,FALSE)</f>
        <v>Otro (describa el tipo de cobro)</v>
      </c>
      <c r="G139" s="390">
        <f>VLOOKUP($E139,'Planes y paquetes'!$C$191:$J$273,G$16,FALSE)</f>
        <v>102.59</v>
      </c>
      <c r="H139" s="583">
        <v>74.104688908533376</v>
      </c>
      <c r="I139" s="403">
        <f t="shared" si="18"/>
        <v>73.345932756476287</v>
      </c>
      <c r="O139" s="410"/>
      <c r="P139" s="296"/>
      <c r="S139" s="264"/>
    </row>
    <row r="140" spans="1:19" ht="12" x14ac:dyDescent="0.2">
      <c r="A140" s="401"/>
      <c r="D140" s="100">
        <f t="shared" si="19"/>
        <v>7</v>
      </c>
      <c r="E140" s="95" t="s">
        <v>739</v>
      </c>
      <c r="F140" s="390" t="str">
        <f>VLOOKUP($E140,'Planes y paquetes'!$C$191:$J$273,F$16,FALSE)</f>
        <v>Otro (describa el tipo de cobro)</v>
      </c>
      <c r="G140" s="390">
        <f>VLOOKUP($E140,'Planes y paquetes'!$C$191:$J$273,G$16,FALSE)</f>
        <v>180.17</v>
      </c>
      <c r="H140" s="583">
        <v>130.14369627303302</v>
      </c>
      <c r="I140" s="403">
        <f t="shared" si="18"/>
        <v>128.81115805375117</v>
      </c>
      <c r="O140" s="410"/>
      <c r="P140" s="296"/>
      <c r="S140" s="264"/>
    </row>
    <row r="141" spans="1:19" ht="12" x14ac:dyDescent="0.2">
      <c r="A141" s="401"/>
      <c r="D141" s="100">
        <f t="shared" si="19"/>
        <v>8</v>
      </c>
      <c r="E141" s="95" t="s">
        <v>740</v>
      </c>
      <c r="F141" s="390" t="str">
        <f>VLOOKUP($E141,'Planes y paquetes'!$C$191:$J$273,F$16,FALSE)</f>
        <v>Otro (describa el tipo de cobro)</v>
      </c>
      <c r="G141" s="390">
        <f>VLOOKUP($E141,'Planes y paquetes'!$C$191:$J$273,G$16,FALSE)</f>
        <v>42.24</v>
      </c>
      <c r="H141" s="583">
        <v>30.511570908436003</v>
      </c>
      <c r="I141" s="403">
        <f t="shared" si="18"/>
        <v>30.199163657603652</v>
      </c>
      <c r="O141" s="410"/>
      <c r="P141" s="296"/>
      <c r="S141" s="264"/>
    </row>
    <row r="142" spans="1:19" ht="12" x14ac:dyDescent="0.2">
      <c r="A142" s="401"/>
      <c r="D142" s="100">
        <f t="shared" si="19"/>
        <v>9</v>
      </c>
      <c r="E142" s="95" t="s">
        <v>741</v>
      </c>
      <c r="F142" s="390" t="str">
        <f>VLOOKUP($E142,'Planes y paquetes'!$C$191:$J$273,F$16,FALSE)</f>
        <v>Otro (describa el tipo de cobro)</v>
      </c>
      <c r="G142" s="390">
        <f>VLOOKUP($E142,'Planes y paquetes'!$C$191:$J$273,G$16,FALSE)</f>
        <v>128.44999999999999</v>
      </c>
      <c r="H142" s="583">
        <v>92.784358030033246</v>
      </c>
      <c r="I142" s="403">
        <f t="shared" si="18"/>
        <v>91.834341188901234</v>
      </c>
      <c r="O142" s="410"/>
      <c r="P142" s="296"/>
      <c r="S142" s="264"/>
    </row>
    <row r="143" spans="1:19" ht="12" x14ac:dyDescent="0.2">
      <c r="A143" s="401"/>
      <c r="D143" s="100">
        <f t="shared" si="19"/>
        <v>10</v>
      </c>
      <c r="E143" s="95" t="s">
        <v>742</v>
      </c>
      <c r="F143" s="390" t="str">
        <f>VLOOKUP($E143,'Planes y paquetes'!$C$191:$J$273,F$16,FALSE)</f>
        <v>Otro (describa el tipo de cobro)</v>
      </c>
      <c r="G143" s="390">
        <f>VLOOKUP($E143,'Planes y paquetes'!$C$191:$J$273,G$16,FALSE)</f>
        <v>257.76</v>
      </c>
      <c r="H143" s="583">
        <v>186.18992702079697</v>
      </c>
      <c r="I143" s="403">
        <f t="shared" si="18"/>
        <v>184.28353277424046</v>
      </c>
      <c r="O143" s="410"/>
      <c r="P143" s="296"/>
      <c r="S143" s="264"/>
    </row>
    <row r="144" spans="1:19" ht="12" x14ac:dyDescent="0.2">
      <c r="A144" s="401"/>
      <c r="D144" s="100">
        <f t="shared" si="19"/>
        <v>11</v>
      </c>
      <c r="E144" s="95" t="s">
        <v>743</v>
      </c>
      <c r="F144" s="390" t="str">
        <f>VLOOKUP($E144,'Planes y paquetes'!$C$191:$J$273,F$16,FALSE)</f>
        <v>Otro (describa el tipo de cobro)</v>
      </c>
      <c r="G144" s="390">
        <f>VLOOKUP($E144,'Planes y paquetes'!$C$191:$J$273,G$16,FALSE)</f>
        <v>52.59</v>
      </c>
      <c r="H144" s="583">
        <v>37.987772586994545</v>
      </c>
      <c r="I144" s="403">
        <f t="shared" si="18"/>
        <v>37.598816684502275</v>
      </c>
      <c r="O144" s="410"/>
      <c r="P144" s="296"/>
      <c r="S144" s="264"/>
    </row>
    <row r="145" spans="1:53" ht="12" x14ac:dyDescent="0.2">
      <c r="A145" s="401"/>
      <c r="D145" s="100">
        <f t="shared" si="19"/>
        <v>12</v>
      </c>
      <c r="E145" s="95" t="s">
        <v>744</v>
      </c>
      <c r="F145" s="390" t="str">
        <f>VLOOKUP($E145,'Planes y paquetes'!$C$191:$J$273,F$16,FALSE)</f>
        <v>Otro (describa el tipo de cobro)</v>
      </c>
      <c r="G145" s="390">
        <f>VLOOKUP($E145,'Planes y paquetes'!$C$191:$J$273,G$16,FALSE)</f>
        <v>171.55</v>
      </c>
      <c r="H145" s="583">
        <v>123.91713989919973</v>
      </c>
      <c r="I145" s="403">
        <f t="shared" si="18"/>
        <v>122.64835524294286</v>
      </c>
      <c r="O145" s="410"/>
      <c r="P145" s="296"/>
      <c r="S145" s="264"/>
    </row>
    <row r="146" spans="1:53" ht="12" x14ac:dyDescent="0.2">
      <c r="A146" s="401"/>
      <c r="D146" s="100">
        <f t="shared" si="19"/>
        <v>13</v>
      </c>
      <c r="E146" s="95" t="s">
        <v>745</v>
      </c>
      <c r="F146" s="390" t="str">
        <f>VLOOKUP($E146,'Planes y paquetes'!$C$191:$J$273,F$16,FALSE)</f>
        <v>Otro (describa el tipo de cobro)</v>
      </c>
      <c r="G146" s="390">
        <f>VLOOKUP($E146,'Planes y paquetes'!$C$191:$J$273,G$16,FALSE)</f>
        <v>343.97</v>
      </c>
      <c r="H146" s="583">
        <v>248.46271414239422</v>
      </c>
      <c r="I146" s="403">
        <f t="shared" si="18"/>
        <v>245.91871030553807</v>
      </c>
      <c r="O146" s="410"/>
      <c r="P146" s="296"/>
      <c r="S146" s="264"/>
    </row>
    <row r="147" spans="1:53" ht="12" x14ac:dyDescent="0.2">
      <c r="A147" s="401"/>
      <c r="D147" s="100">
        <f t="shared" si="19"/>
        <v>14</v>
      </c>
      <c r="E147" s="95" t="s">
        <v>197</v>
      </c>
      <c r="F147" s="249" t="s">
        <v>677</v>
      </c>
      <c r="G147" s="390">
        <f>VLOOKUP($E147,Precios!$C$366:$D$411,2,FALSE)</f>
        <v>349</v>
      </c>
      <c r="H147" s="583">
        <v>252.09607592434102</v>
      </c>
      <c r="I147" s="403">
        <f t="shared" si="18"/>
        <v>249.51487018237864</v>
      </c>
      <c r="O147" s="410"/>
      <c r="P147" s="296"/>
      <c r="S147" s="264"/>
    </row>
    <row r="148" spans="1:53" ht="12" x14ac:dyDescent="0.2">
      <c r="A148" s="401"/>
      <c r="D148" s="100">
        <f t="shared" si="19"/>
        <v>15</v>
      </c>
      <c r="E148" s="95" t="s">
        <v>199</v>
      </c>
      <c r="F148" s="249" t="s">
        <v>677</v>
      </c>
      <c r="G148" s="390">
        <f>VLOOKUP($E148,Precios!$C$366:$D$411,2,FALSE)</f>
        <v>608.69000000000005</v>
      </c>
      <c r="H148" s="583">
        <v>439.68011591514943</v>
      </c>
      <c r="I148" s="403">
        <f t="shared" si="18"/>
        <v>435.17824163699731</v>
      </c>
      <c r="O148" s="410"/>
      <c r="P148" s="296"/>
      <c r="S148" s="264"/>
    </row>
    <row r="149" spans="1:53" ht="12.6" thickBot="1" x14ac:dyDescent="0.25">
      <c r="A149" s="401"/>
      <c r="D149" s="100">
        <f t="shared" si="19"/>
        <v>16</v>
      </c>
      <c r="E149" s="95" t="s">
        <v>201</v>
      </c>
      <c r="F149" s="249" t="s">
        <v>677</v>
      </c>
      <c r="G149" s="390">
        <f>VLOOKUP($E149,Precios!$C$366:$D$411,2,FALSE)</f>
        <v>1042.5999999999999</v>
      </c>
      <c r="H149" s="583">
        <v>753.10993913672758</v>
      </c>
      <c r="I149" s="403">
        <f t="shared" si="18"/>
        <v>745.39886433280208</v>
      </c>
      <c r="O149" s="410"/>
      <c r="P149" s="296"/>
      <c r="S149" s="264"/>
    </row>
    <row r="150" spans="1:53" x14ac:dyDescent="0.2">
      <c r="E150" s="53"/>
      <c r="F150" s="53"/>
      <c r="G150" s="53"/>
      <c r="H150" s="53"/>
      <c r="I150" s="53"/>
      <c r="J150" s="53"/>
      <c r="K150" s="53"/>
      <c r="L150" s="53"/>
      <c r="M150" s="53"/>
      <c r="N150" s="53"/>
      <c r="O150" s="53"/>
      <c r="P150" s="53"/>
      <c r="Q150" s="53"/>
    </row>
    <row r="152" spans="1:53" ht="12" x14ac:dyDescent="0.2">
      <c r="A152" s="99" t="s">
        <v>358</v>
      </c>
      <c r="B152" s="99" t="s">
        <v>292</v>
      </c>
      <c r="C152" s="76"/>
      <c r="D152" s="76"/>
      <c r="E152" s="76"/>
      <c r="F152" s="76"/>
      <c r="G152" s="76"/>
      <c r="H152" s="76"/>
      <c r="I152" s="76"/>
      <c r="J152" s="76"/>
      <c r="K152" s="76"/>
      <c r="L152" s="76"/>
      <c r="M152" s="76"/>
      <c r="N152" s="76"/>
      <c r="O152" s="76"/>
      <c r="P152" s="76"/>
      <c r="Q152" s="76"/>
      <c r="R152" s="76"/>
      <c r="S152" s="76"/>
      <c r="T152" s="76"/>
      <c r="U152" s="76"/>
      <c r="V152" s="76"/>
      <c r="W152" s="76"/>
      <c r="X152" s="76"/>
      <c r="Y152" s="76"/>
      <c r="Z152" s="76"/>
      <c r="AA152" s="76"/>
      <c r="AB152" s="76"/>
      <c r="AC152" s="76"/>
      <c r="AD152" s="76"/>
      <c r="AE152" s="76"/>
      <c r="AF152" s="76"/>
      <c r="AG152" s="76"/>
      <c r="AH152" s="76"/>
      <c r="AI152" s="76"/>
      <c r="AJ152" s="76"/>
      <c r="AK152" s="76"/>
      <c r="AL152" s="76"/>
      <c r="AM152" s="76"/>
      <c r="AN152" s="76"/>
      <c r="AO152" s="76"/>
      <c r="AP152" s="76"/>
      <c r="AQ152" s="76"/>
      <c r="AR152" s="76"/>
      <c r="AS152" s="76"/>
      <c r="AT152" s="76"/>
      <c r="AU152" s="76"/>
      <c r="AV152" s="76"/>
      <c r="AW152" s="76"/>
      <c r="AX152" s="76"/>
      <c r="AY152" s="76"/>
      <c r="AZ152" s="76"/>
      <c r="BA152" s="76"/>
    </row>
  </sheetData>
  <mergeCells count="9">
    <mergeCell ref="H131:I131"/>
    <mergeCell ref="M128:N128"/>
    <mergeCell ref="B67:C67"/>
    <mergeCell ref="B97:C97"/>
    <mergeCell ref="B3:C3"/>
    <mergeCell ref="L9:M9"/>
    <mergeCell ref="L15:M15"/>
    <mergeCell ref="L72:M72"/>
    <mergeCell ref="L106:M106"/>
  </mergeCells>
  <pageMargins left="0.7" right="0.7" top="0.75" bottom="0.75" header="0.3" footer="0.3"/>
  <pageSetup orientation="portrait" r:id="rId1"/>
  <ignoredErrors>
    <ignoredError sqref="D18:D62 D135:D149" unlockedFormula="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2D2CA-2B65-40A9-9438-60CDF450A2D7}">
  <sheetPr codeName="Hoja12">
    <tabColor rgb="FFFF0000"/>
  </sheetPr>
  <dimension ref="C1:C3"/>
  <sheetViews>
    <sheetView showGridLines="0" zoomScale="115" zoomScaleNormal="115" workbookViewId="0">
      <pane ySplit="1" topLeftCell="A2" activePane="bottomLeft" state="frozen"/>
      <selection activeCell="H120" sqref="H120"/>
      <selection pane="bottomLeft" activeCell="H120" sqref="H120"/>
    </sheetView>
  </sheetViews>
  <sheetFormatPr baseColWidth="10" defaultRowHeight="11.4" x14ac:dyDescent="0.2"/>
  <sheetData>
    <row r="1" spans="3:3" s="87" customFormat="1" ht="33.75" customHeight="1" x14ac:dyDescent="0.2">
      <c r="C1" s="87" t="s">
        <v>755</v>
      </c>
    </row>
    <row r="3" spans="3:3" x14ac:dyDescent="0.2">
      <c r="C3" t="s">
        <v>756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7316D-D26C-49B9-8178-2255E090EF50}">
  <sheetPr codeName="Hoja13">
    <tabColor theme="4" tint="-0.249977111117893"/>
    <pageSetUpPr autoPageBreaks="0"/>
  </sheetPr>
  <dimension ref="A1:DL743"/>
  <sheetViews>
    <sheetView showGridLines="0" defaultGridColor="0" topLeftCell="A675" colorId="22" zoomScale="65" zoomScaleNormal="90" workbookViewId="0">
      <pane xSplit="3" topLeftCell="D1" activePane="topRight" state="frozen"/>
      <selection activeCell="A284" sqref="A284"/>
      <selection pane="topRight" activeCell="J661" sqref="J661:L705"/>
    </sheetView>
  </sheetViews>
  <sheetFormatPr baseColWidth="10" defaultColWidth="12.75" defaultRowHeight="11.4" outlineLevelRow="1" x14ac:dyDescent="0.2"/>
  <cols>
    <col min="1" max="1" width="6.75" customWidth="1"/>
    <col min="3" max="3" width="46.375" customWidth="1"/>
    <col min="4" max="4" width="24.625" bestFit="1" customWidth="1"/>
    <col min="5" max="5" width="29.75" customWidth="1"/>
    <col min="6" max="6" width="35.25" customWidth="1"/>
    <col min="7" max="7" width="36.625" customWidth="1"/>
    <col min="8" max="8" width="30.25" customWidth="1"/>
    <col min="9" max="9" width="31.625" customWidth="1"/>
    <col min="10" max="11" width="35.125" customWidth="1"/>
    <col min="12" max="12" width="31.375" customWidth="1"/>
    <col min="13" max="13" width="25.25" customWidth="1"/>
    <col min="14" max="14" width="29.75" customWidth="1"/>
    <col min="15" max="19" width="33.75" customWidth="1"/>
    <col min="20" max="20" width="32.375" bestFit="1" customWidth="1"/>
    <col min="21" max="21" width="35.25" customWidth="1"/>
    <col min="22" max="22" width="27.75" customWidth="1"/>
    <col min="23" max="23" width="36.375" customWidth="1"/>
    <col min="24" max="30" width="27.75" customWidth="1"/>
    <col min="31" max="31" width="26.625" customWidth="1"/>
    <col min="32" max="35" width="29.75" customWidth="1"/>
    <col min="36" max="36" width="24.375" customWidth="1"/>
    <col min="37" max="38" width="34.125" customWidth="1"/>
    <col min="39" max="39" width="48.375" bestFit="1" customWidth="1"/>
    <col min="40" max="40" width="46.125" customWidth="1"/>
    <col min="41" max="41" width="48.375" bestFit="1" customWidth="1"/>
    <col min="42" max="42" width="38.875" customWidth="1"/>
    <col min="43" max="43" width="32.875" customWidth="1"/>
    <col min="44" max="44" width="25.125" customWidth="1"/>
    <col min="45" max="67" width="35.25" customWidth="1"/>
    <col min="68" max="68" width="17.75" customWidth="1"/>
    <col min="69" max="69" width="18.125" customWidth="1"/>
    <col min="70" max="70" width="16.75" customWidth="1"/>
  </cols>
  <sheetData>
    <row r="1" spans="1:116" s="87" customFormat="1" ht="33.75" customHeight="1" x14ac:dyDescent="0.2">
      <c r="A1" s="87" t="str">
        <f>"Preguntas "&amp;A2&amp;" a "&amp;A474&amp;""</f>
        <v>Preguntas 1 a 3</v>
      </c>
    </row>
    <row r="2" spans="1:116" s="414" customFormat="1" ht="15.6" x14ac:dyDescent="0.2">
      <c r="A2" s="412">
        <v>1</v>
      </c>
      <c r="B2" s="412" t="s">
        <v>757</v>
      </c>
      <c r="C2" s="412"/>
      <c r="D2" s="413"/>
      <c r="E2" s="413"/>
      <c r="F2" s="413"/>
      <c r="G2" s="413"/>
      <c r="H2" s="413"/>
      <c r="I2" s="413"/>
      <c r="J2" s="413"/>
      <c r="K2" s="413"/>
      <c r="L2" s="413"/>
      <c r="M2" s="413"/>
      <c r="N2" s="413"/>
      <c r="O2" s="413"/>
      <c r="P2" s="413"/>
      <c r="Q2" s="413"/>
      <c r="R2" s="413"/>
      <c r="S2" s="413"/>
      <c r="T2" s="413"/>
      <c r="U2" s="413"/>
      <c r="V2" s="413"/>
      <c r="W2" s="413"/>
      <c r="X2" s="413"/>
      <c r="Y2" s="413"/>
      <c r="Z2" s="413"/>
      <c r="AA2" s="413"/>
      <c r="AB2" s="413"/>
      <c r="AC2" s="413"/>
      <c r="AD2" s="413"/>
      <c r="AE2" s="413"/>
      <c r="AF2" s="413"/>
      <c r="AG2" s="413"/>
      <c r="AH2" s="413"/>
      <c r="AI2" s="413"/>
      <c r="AJ2" s="413"/>
      <c r="AK2" s="413"/>
      <c r="AL2" s="413"/>
      <c r="AM2" s="413"/>
      <c r="AN2" s="413"/>
      <c r="AO2" s="413"/>
      <c r="AP2" s="413"/>
      <c r="AQ2" s="413"/>
      <c r="AR2" s="413"/>
      <c r="AS2" s="413"/>
      <c r="AT2" s="413"/>
      <c r="AU2" s="413"/>
      <c r="AV2" s="413"/>
      <c r="AW2" s="413"/>
      <c r="AX2" s="413"/>
      <c r="AY2" s="413"/>
      <c r="AZ2" s="413"/>
      <c r="BA2" s="413"/>
      <c r="BB2" s="413"/>
      <c r="BC2" s="413"/>
      <c r="BD2" s="413"/>
      <c r="BE2" s="413"/>
      <c r="BF2" s="413"/>
      <c r="BG2" s="413"/>
      <c r="BH2" s="413"/>
      <c r="BI2" s="413"/>
      <c r="BJ2" s="413"/>
      <c r="BK2" s="413"/>
      <c r="BL2" s="413"/>
      <c r="BM2" s="413"/>
      <c r="BN2" s="413"/>
      <c r="BO2" s="413"/>
      <c r="BP2" s="413"/>
      <c r="BQ2" s="413"/>
      <c r="BR2" s="413"/>
      <c r="BS2" s="413"/>
      <c r="BT2" s="413"/>
      <c r="BU2" s="413"/>
      <c r="BV2" s="413"/>
      <c r="BW2" s="413"/>
      <c r="BX2" s="413"/>
      <c r="BY2" s="413"/>
      <c r="BZ2" s="413"/>
      <c r="CA2" s="413"/>
      <c r="CB2" s="413"/>
      <c r="CC2" s="413"/>
      <c r="CD2" s="413"/>
      <c r="CE2" s="413"/>
      <c r="CF2" s="413"/>
      <c r="CG2" s="413"/>
      <c r="CH2" s="413"/>
      <c r="CI2" s="413"/>
      <c r="CJ2" s="413"/>
      <c r="CK2" s="413"/>
      <c r="CL2" s="413"/>
      <c r="CM2" s="413"/>
      <c r="CN2" s="413"/>
      <c r="CO2" s="413"/>
      <c r="CP2" s="413"/>
      <c r="CQ2" s="413"/>
      <c r="CR2" s="413"/>
      <c r="CS2" s="413"/>
      <c r="CT2" s="413"/>
      <c r="CU2" s="413"/>
      <c r="CV2" s="413"/>
      <c r="CW2" s="413"/>
      <c r="CX2" s="413"/>
      <c r="CY2" s="413"/>
      <c r="CZ2" s="413"/>
      <c r="DA2" s="413"/>
      <c r="DB2" s="413"/>
      <c r="DC2" s="413"/>
      <c r="DD2" s="413"/>
      <c r="DE2" s="413"/>
      <c r="DF2" s="413"/>
      <c r="DG2" s="413"/>
      <c r="DH2" s="413"/>
      <c r="DI2" s="413"/>
      <c r="DJ2" s="413"/>
      <c r="DK2" s="413"/>
      <c r="DL2" s="413"/>
    </row>
    <row r="3" spans="1:116" x14ac:dyDescent="0.2">
      <c r="C3" s="252"/>
      <c r="D3" s="252"/>
      <c r="E3" s="252"/>
      <c r="F3" s="252"/>
    </row>
    <row r="4" spans="1:116" ht="15.6" x14ac:dyDescent="0.2">
      <c r="C4" s="9" t="s">
        <v>758</v>
      </c>
      <c r="D4" s="252"/>
      <c r="E4" s="415">
        <v>2024</v>
      </c>
    </row>
    <row r="5" spans="1:116" x14ac:dyDescent="0.2">
      <c r="B5" s="252"/>
      <c r="C5" s="96" t="s">
        <v>759</v>
      </c>
    </row>
    <row r="6" spans="1:116" ht="51.45" customHeight="1" x14ac:dyDescent="0.2">
      <c r="B6" s="252"/>
      <c r="C6" s="538" t="s">
        <v>1034</v>
      </c>
      <c r="D6" s="538"/>
      <c r="E6" s="538"/>
      <c r="F6" s="539"/>
      <c r="G6" s="416">
        <v>2024</v>
      </c>
      <c r="H6" s="417"/>
      <c r="I6" s="417"/>
      <c r="J6" s="417"/>
      <c r="K6" s="417"/>
      <c r="L6" s="417"/>
      <c r="M6" s="417"/>
      <c r="N6" s="417"/>
      <c r="O6" s="417"/>
      <c r="P6" s="417"/>
      <c r="Q6" s="417"/>
      <c r="R6" s="417"/>
      <c r="S6" s="417"/>
      <c r="T6" s="417"/>
      <c r="U6" s="417"/>
      <c r="V6" s="417"/>
      <c r="W6" s="417"/>
      <c r="X6" s="417"/>
      <c r="Y6" s="417"/>
      <c r="Z6" s="417"/>
      <c r="AA6" s="417"/>
      <c r="AB6" s="417"/>
      <c r="AC6" s="417"/>
      <c r="AD6" s="417"/>
      <c r="AE6" s="417"/>
      <c r="AF6" s="417"/>
      <c r="AG6" s="417"/>
      <c r="AH6" s="417"/>
      <c r="AI6" s="417"/>
      <c r="AJ6" s="417"/>
      <c r="AK6" s="417"/>
      <c r="AL6" s="417"/>
      <c r="AM6" s="417"/>
      <c r="AN6" s="417"/>
      <c r="AO6" s="417"/>
      <c r="AP6" s="417"/>
      <c r="AQ6" s="417"/>
      <c r="AR6" s="417"/>
      <c r="AS6" s="417"/>
      <c r="AT6" s="417"/>
      <c r="AU6" s="417"/>
      <c r="AV6" s="417"/>
      <c r="AW6" s="417"/>
      <c r="AX6" s="417"/>
      <c r="AY6" s="417"/>
      <c r="AZ6" s="417"/>
    </row>
    <row r="7" spans="1:116" ht="76.2" customHeight="1" x14ac:dyDescent="0.2">
      <c r="B7" s="252"/>
      <c r="C7" s="418" t="s">
        <v>456</v>
      </c>
      <c r="D7" s="418" t="s">
        <v>457</v>
      </c>
      <c r="E7" s="419" t="s">
        <v>458</v>
      </c>
      <c r="F7" s="419" t="s">
        <v>760</v>
      </c>
      <c r="G7" s="420" t="s">
        <v>380</v>
      </c>
      <c r="H7" s="420" t="s">
        <v>761</v>
      </c>
      <c r="I7" s="421" t="s">
        <v>762</v>
      </c>
      <c r="J7" s="422" t="s">
        <v>763</v>
      </c>
      <c r="K7" s="423" t="s">
        <v>764</v>
      </c>
      <c r="L7" s="424" t="s">
        <v>765</v>
      </c>
      <c r="M7" s="421" t="s">
        <v>766</v>
      </c>
      <c r="N7" s="422" t="s">
        <v>767</v>
      </c>
      <c r="O7" s="423" t="s">
        <v>768</v>
      </c>
      <c r="P7" s="424" t="s">
        <v>765</v>
      </c>
      <c r="Q7" s="422" t="s">
        <v>769</v>
      </c>
      <c r="R7" s="423" t="s">
        <v>770</v>
      </c>
      <c r="S7" s="424" t="s">
        <v>765</v>
      </c>
      <c r="T7" s="422" t="s">
        <v>771</v>
      </c>
      <c r="U7" s="423" t="s">
        <v>772</v>
      </c>
      <c r="V7" s="424" t="s">
        <v>765</v>
      </c>
      <c r="W7" s="422" t="s">
        <v>773</v>
      </c>
      <c r="X7" s="423" t="s">
        <v>774</v>
      </c>
      <c r="Y7" s="424" t="s">
        <v>765</v>
      </c>
      <c r="Z7" s="422" t="s">
        <v>1009</v>
      </c>
      <c r="AA7" s="423" t="s">
        <v>1010</v>
      </c>
      <c r="AB7" s="424" t="s">
        <v>765</v>
      </c>
      <c r="AC7" s="422" t="s">
        <v>775</v>
      </c>
      <c r="AD7" s="423" t="s">
        <v>776</v>
      </c>
      <c r="AE7" s="424" t="s">
        <v>765</v>
      </c>
      <c r="AF7" s="422" t="s">
        <v>777</v>
      </c>
      <c r="AG7" s="423" t="s">
        <v>778</v>
      </c>
      <c r="AH7" s="424" t="s">
        <v>765</v>
      </c>
      <c r="AI7" s="422" t="s">
        <v>779</v>
      </c>
      <c r="AJ7" s="423" t="s">
        <v>780</v>
      </c>
      <c r="AK7" s="424" t="s">
        <v>765</v>
      </c>
      <c r="AL7" s="422" t="s">
        <v>781</v>
      </c>
      <c r="AM7" s="423" t="s">
        <v>782</v>
      </c>
      <c r="AN7" s="424" t="s">
        <v>765</v>
      </c>
      <c r="AO7" s="422" t="s">
        <v>783</v>
      </c>
      <c r="AP7" s="423" t="s">
        <v>784</v>
      </c>
      <c r="AQ7" s="424" t="s">
        <v>765</v>
      </c>
      <c r="AR7" s="422" t="s">
        <v>785</v>
      </c>
      <c r="AS7" s="423" t="s">
        <v>786</v>
      </c>
      <c r="AT7" s="423" t="s">
        <v>787</v>
      </c>
      <c r="AU7" s="424" t="s">
        <v>765</v>
      </c>
      <c r="AV7" s="422" t="s">
        <v>1035</v>
      </c>
      <c r="AW7" s="423" t="s">
        <v>788</v>
      </c>
      <c r="AX7" s="423" t="s">
        <v>789</v>
      </c>
      <c r="AY7" s="423" t="s">
        <v>790</v>
      </c>
      <c r="AZ7" s="424" t="s">
        <v>765</v>
      </c>
    </row>
    <row r="8" spans="1:116" ht="14.4" x14ac:dyDescent="0.3">
      <c r="B8" s="425">
        <v>1</v>
      </c>
      <c r="C8" s="95" t="s">
        <v>166</v>
      </c>
      <c r="D8" s="429" t="s">
        <v>350</v>
      </c>
      <c r="E8" s="429" t="s">
        <v>794</v>
      </c>
      <c r="F8" s="429" t="s">
        <v>677</v>
      </c>
      <c r="G8" s="427">
        <v>210.24</v>
      </c>
      <c r="H8" s="485">
        <v>249</v>
      </c>
      <c r="I8" s="585" t="s">
        <v>792</v>
      </c>
      <c r="J8" s="426"/>
      <c r="K8" s="426"/>
      <c r="L8" s="426"/>
      <c r="M8" s="585" t="s">
        <v>792</v>
      </c>
      <c r="N8" s="426"/>
      <c r="O8" s="426"/>
      <c r="P8" s="426"/>
      <c r="Q8" s="426"/>
      <c r="R8" s="426"/>
      <c r="S8" s="426"/>
      <c r="T8" s="426"/>
      <c r="U8" s="426"/>
      <c r="V8" s="426"/>
      <c r="W8" s="426"/>
      <c r="X8" s="426"/>
      <c r="Y8" s="426"/>
      <c r="Z8" s="426"/>
      <c r="AA8" s="426"/>
      <c r="AB8" s="426"/>
      <c r="AC8" s="426"/>
      <c r="AD8" s="426"/>
      <c r="AE8" s="426"/>
      <c r="AF8" s="426"/>
      <c r="AG8" s="426"/>
      <c r="AH8" s="426"/>
      <c r="AI8" s="426"/>
      <c r="AJ8" s="426"/>
      <c r="AK8" s="426"/>
      <c r="AL8" s="426"/>
      <c r="AM8" s="426"/>
      <c r="AN8" s="426"/>
      <c r="AO8" s="426"/>
      <c r="AP8" s="426"/>
      <c r="AQ8" s="426"/>
      <c r="AR8" s="585" t="s">
        <v>792</v>
      </c>
      <c r="AS8" s="426"/>
      <c r="AT8" s="426"/>
      <c r="AU8" s="426"/>
      <c r="AV8" s="585" t="s">
        <v>792</v>
      </c>
      <c r="AW8" s="426"/>
      <c r="AX8" s="426"/>
      <c r="AY8" s="426"/>
      <c r="AZ8" s="428"/>
    </row>
    <row r="9" spans="1:116" ht="14.4" x14ac:dyDescent="0.3">
      <c r="B9" s="425">
        <f>1+B8</f>
        <v>2</v>
      </c>
      <c r="C9" s="95" t="s">
        <v>169</v>
      </c>
      <c r="D9" s="429" t="s">
        <v>350</v>
      </c>
      <c r="E9" s="429" t="s">
        <v>794</v>
      </c>
      <c r="F9" s="429" t="s">
        <v>677</v>
      </c>
      <c r="G9" s="91">
        <v>244.01</v>
      </c>
      <c r="H9" s="486">
        <v>289</v>
      </c>
      <c r="I9" s="585" t="s">
        <v>792</v>
      </c>
      <c r="J9" s="426"/>
      <c r="K9" s="426"/>
      <c r="L9" s="426"/>
      <c r="M9" s="585" t="s">
        <v>792</v>
      </c>
      <c r="N9" s="426"/>
      <c r="O9" s="426"/>
      <c r="P9" s="426"/>
      <c r="Q9" s="426"/>
      <c r="R9" s="426"/>
      <c r="S9" s="426"/>
      <c r="T9" s="426"/>
      <c r="U9" s="426"/>
      <c r="V9" s="426"/>
      <c r="W9" s="426"/>
      <c r="X9" s="426"/>
      <c r="Y9" s="426"/>
      <c r="Z9" s="426"/>
      <c r="AA9" s="426"/>
      <c r="AB9" s="426"/>
      <c r="AC9" s="426"/>
      <c r="AD9" s="426"/>
      <c r="AE9" s="426"/>
      <c r="AF9" s="426"/>
      <c r="AG9" s="426"/>
      <c r="AH9" s="426"/>
      <c r="AI9" s="426"/>
      <c r="AJ9" s="426"/>
      <c r="AK9" s="426"/>
      <c r="AL9" s="426"/>
      <c r="AM9" s="426"/>
      <c r="AN9" s="426"/>
      <c r="AO9" s="426"/>
      <c r="AP9" s="426"/>
      <c r="AQ9" s="426"/>
      <c r="AR9" s="585" t="s">
        <v>792</v>
      </c>
      <c r="AS9" s="426"/>
      <c r="AT9" s="426"/>
      <c r="AU9" s="426"/>
      <c r="AV9" s="585" t="s">
        <v>792</v>
      </c>
      <c r="AW9" s="426"/>
      <c r="AX9" s="426"/>
      <c r="AY9" s="426"/>
      <c r="AZ9" s="428"/>
    </row>
    <row r="10" spans="1:116" ht="14.4" x14ac:dyDescent="0.3">
      <c r="B10" s="425">
        <f t="shared" ref="B10:B73" si="0">1+B9</f>
        <v>3</v>
      </c>
      <c r="C10" s="95" t="s">
        <v>173</v>
      </c>
      <c r="D10" s="429" t="s">
        <v>350</v>
      </c>
      <c r="E10" s="429" t="s">
        <v>794</v>
      </c>
      <c r="F10" s="429" t="s">
        <v>677</v>
      </c>
      <c r="G10" s="91">
        <v>281.16000000000003</v>
      </c>
      <c r="H10" s="486">
        <v>333</v>
      </c>
      <c r="I10" s="585" t="s">
        <v>792</v>
      </c>
      <c r="J10" s="426"/>
      <c r="K10" s="426"/>
      <c r="L10" s="426"/>
      <c r="M10" s="585" t="s">
        <v>792</v>
      </c>
      <c r="N10" s="426"/>
      <c r="O10" s="426"/>
      <c r="P10" s="426"/>
      <c r="Q10" s="426"/>
      <c r="R10" s="426"/>
      <c r="S10" s="426"/>
      <c r="T10" s="426"/>
      <c r="U10" s="426"/>
      <c r="V10" s="426"/>
      <c r="W10" s="426"/>
      <c r="X10" s="426"/>
      <c r="Y10" s="426"/>
      <c r="Z10" s="426"/>
      <c r="AA10" s="426"/>
      <c r="AB10" s="426"/>
      <c r="AC10" s="426"/>
      <c r="AD10" s="426"/>
      <c r="AE10" s="426"/>
      <c r="AF10" s="426"/>
      <c r="AG10" s="426"/>
      <c r="AH10" s="426"/>
      <c r="AI10" s="426"/>
      <c r="AJ10" s="426"/>
      <c r="AK10" s="426"/>
      <c r="AL10" s="426"/>
      <c r="AM10" s="426"/>
      <c r="AN10" s="426"/>
      <c r="AO10" s="426"/>
      <c r="AP10" s="426"/>
      <c r="AQ10" s="426"/>
      <c r="AR10" s="585" t="s">
        <v>792</v>
      </c>
      <c r="AS10" s="426"/>
      <c r="AT10" s="426"/>
      <c r="AU10" s="426"/>
      <c r="AV10" s="585" t="s">
        <v>792</v>
      </c>
      <c r="AW10" s="426"/>
      <c r="AX10" s="426"/>
      <c r="AY10" s="426"/>
      <c r="AZ10" s="428"/>
    </row>
    <row r="11" spans="1:116" ht="14.4" x14ac:dyDescent="0.3">
      <c r="B11" s="425">
        <f t="shared" si="0"/>
        <v>4</v>
      </c>
      <c r="C11" s="95" t="s">
        <v>176</v>
      </c>
      <c r="D11" s="429" t="s">
        <v>350</v>
      </c>
      <c r="E11" s="429" t="s">
        <v>794</v>
      </c>
      <c r="F11" s="429" t="s">
        <v>677</v>
      </c>
      <c r="G11" s="91">
        <v>328.44</v>
      </c>
      <c r="H11" s="486">
        <v>389</v>
      </c>
      <c r="I11" s="585" t="s">
        <v>792</v>
      </c>
      <c r="J11" s="426"/>
      <c r="K11" s="426"/>
      <c r="L11" s="426"/>
      <c r="M11" s="585" t="s">
        <v>792</v>
      </c>
      <c r="N11" s="426"/>
      <c r="O11" s="426"/>
      <c r="P11" s="426"/>
      <c r="Q11" s="426"/>
      <c r="R11" s="426"/>
      <c r="S11" s="426"/>
      <c r="T11" s="426"/>
      <c r="U11" s="426"/>
      <c r="V11" s="426"/>
      <c r="W11" s="426"/>
      <c r="X11" s="426"/>
      <c r="Y11" s="426"/>
      <c r="Z11" s="426"/>
      <c r="AA11" s="426"/>
      <c r="AB11" s="426"/>
      <c r="AC11" s="426"/>
      <c r="AD11" s="426"/>
      <c r="AE11" s="426"/>
      <c r="AF11" s="426"/>
      <c r="AG11" s="426"/>
      <c r="AH11" s="426"/>
      <c r="AI11" s="426"/>
      <c r="AJ11" s="426"/>
      <c r="AK11" s="426"/>
      <c r="AL11" s="426"/>
      <c r="AM11" s="426"/>
      <c r="AN11" s="426"/>
      <c r="AO11" s="426"/>
      <c r="AP11" s="426"/>
      <c r="AQ11" s="426"/>
      <c r="AR11" s="585" t="s">
        <v>792</v>
      </c>
      <c r="AS11" s="426"/>
      <c r="AT11" s="426"/>
      <c r="AU11" s="426"/>
      <c r="AV11" s="585" t="s">
        <v>792</v>
      </c>
      <c r="AW11" s="426"/>
      <c r="AX11" s="426"/>
      <c r="AY11" s="426"/>
      <c r="AZ11" s="428"/>
    </row>
    <row r="12" spans="1:116" ht="14.4" x14ac:dyDescent="0.3">
      <c r="B12" s="425">
        <f t="shared" si="0"/>
        <v>5</v>
      </c>
      <c r="C12" s="95" t="s">
        <v>179</v>
      </c>
      <c r="D12" s="429" t="s">
        <v>350</v>
      </c>
      <c r="E12" s="429" t="s">
        <v>794</v>
      </c>
      <c r="F12" s="429" t="s">
        <v>677</v>
      </c>
      <c r="G12" s="91">
        <v>367.29</v>
      </c>
      <c r="H12" s="486">
        <v>435</v>
      </c>
      <c r="I12" s="585" t="s">
        <v>792</v>
      </c>
      <c r="J12" s="426"/>
      <c r="K12" s="426"/>
      <c r="L12" s="426"/>
      <c r="M12" s="585" t="s">
        <v>792</v>
      </c>
      <c r="N12" s="426"/>
      <c r="O12" s="426"/>
      <c r="P12" s="426"/>
      <c r="Q12" s="426"/>
      <c r="R12" s="426"/>
      <c r="S12" s="426"/>
      <c r="T12" s="426"/>
      <c r="U12" s="426"/>
      <c r="V12" s="426"/>
      <c r="W12" s="426"/>
      <c r="X12" s="426"/>
      <c r="Y12" s="426"/>
      <c r="Z12" s="426"/>
      <c r="AA12" s="426"/>
      <c r="AB12" s="426"/>
      <c r="AC12" s="426"/>
      <c r="AD12" s="426"/>
      <c r="AE12" s="426"/>
      <c r="AF12" s="426"/>
      <c r="AG12" s="426"/>
      <c r="AH12" s="426"/>
      <c r="AI12" s="426"/>
      <c r="AJ12" s="426"/>
      <c r="AK12" s="426"/>
      <c r="AL12" s="426"/>
      <c r="AM12" s="426"/>
      <c r="AN12" s="426"/>
      <c r="AO12" s="426"/>
      <c r="AP12" s="426"/>
      <c r="AQ12" s="426"/>
      <c r="AR12" s="585" t="s">
        <v>792</v>
      </c>
      <c r="AS12" s="426"/>
      <c r="AT12" s="426"/>
      <c r="AU12" s="426"/>
      <c r="AV12" s="585" t="s">
        <v>792</v>
      </c>
      <c r="AW12" s="426"/>
      <c r="AX12" s="426"/>
      <c r="AY12" s="426"/>
      <c r="AZ12" s="428"/>
    </row>
    <row r="13" spans="1:116" ht="14.4" x14ac:dyDescent="0.3">
      <c r="B13" s="425">
        <f t="shared" si="0"/>
        <v>6</v>
      </c>
      <c r="C13" s="95" t="s">
        <v>181</v>
      </c>
      <c r="D13" s="429" t="s">
        <v>350</v>
      </c>
      <c r="E13" s="429" t="s">
        <v>794</v>
      </c>
      <c r="F13" s="429" t="s">
        <v>677</v>
      </c>
      <c r="G13" s="91">
        <v>421.32</v>
      </c>
      <c r="H13" s="486">
        <v>499</v>
      </c>
      <c r="I13" s="585" t="s">
        <v>792</v>
      </c>
      <c r="J13" s="426"/>
      <c r="K13" s="426"/>
      <c r="L13" s="426"/>
      <c r="M13" s="585" t="s">
        <v>792</v>
      </c>
      <c r="N13" s="426"/>
      <c r="O13" s="426"/>
      <c r="P13" s="426"/>
      <c r="Q13" s="426"/>
      <c r="R13" s="426"/>
      <c r="S13" s="426"/>
      <c r="T13" s="426"/>
      <c r="U13" s="426"/>
      <c r="V13" s="426"/>
      <c r="W13" s="426"/>
      <c r="X13" s="426"/>
      <c r="Y13" s="426"/>
      <c r="Z13" s="426"/>
      <c r="AA13" s="426"/>
      <c r="AB13" s="426"/>
      <c r="AC13" s="426"/>
      <c r="AD13" s="426"/>
      <c r="AE13" s="426"/>
      <c r="AF13" s="426"/>
      <c r="AG13" s="426"/>
      <c r="AH13" s="426"/>
      <c r="AI13" s="426"/>
      <c r="AJ13" s="426"/>
      <c r="AK13" s="426"/>
      <c r="AL13" s="426"/>
      <c r="AM13" s="426"/>
      <c r="AN13" s="426"/>
      <c r="AO13" s="426"/>
      <c r="AP13" s="426"/>
      <c r="AQ13" s="426"/>
      <c r="AR13" s="585" t="s">
        <v>792</v>
      </c>
      <c r="AS13" s="426"/>
      <c r="AT13" s="426"/>
      <c r="AU13" s="426"/>
      <c r="AV13" s="585" t="s">
        <v>792</v>
      </c>
      <c r="AW13" s="426"/>
      <c r="AX13" s="426"/>
      <c r="AY13" s="426"/>
      <c r="AZ13" s="428"/>
    </row>
    <row r="14" spans="1:116" ht="14.4" x14ac:dyDescent="0.3">
      <c r="B14" s="425">
        <f t="shared" si="0"/>
        <v>7</v>
      </c>
      <c r="C14" s="95" t="s">
        <v>183</v>
      </c>
      <c r="D14" s="429" t="s">
        <v>350</v>
      </c>
      <c r="E14" s="429" t="s">
        <v>794</v>
      </c>
      <c r="F14" s="429" t="s">
        <v>677</v>
      </c>
      <c r="G14" s="91">
        <v>505.76</v>
      </c>
      <c r="H14" s="486">
        <v>599.00191359999997</v>
      </c>
      <c r="I14" s="585" t="s">
        <v>792</v>
      </c>
      <c r="J14" s="426"/>
      <c r="K14" s="426"/>
      <c r="L14" s="426"/>
      <c r="M14" s="585" t="s">
        <v>792</v>
      </c>
      <c r="N14" s="426"/>
      <c r="O14" s="426"/>
      <c r="P14" s="426"/>
      <c r="Q14" s="426"/>
      <c r="R14" s="426"/>
      <c r="S14" s="426"/>
      <c r="T14" s="426"/>
      <c r="U14" s="426"/>
      <c r="V14" s="426"/>
      <c r="W14" s="426"/>
      <c r="X14" s="426"/>
      <c r="Y14" s="426"/>
      <c r="Z14" s="426"/>
      <c r="AA14" s="426"/>
      <c r="AB14" s="426"/>
      <c r="AC14" s="426"/>
      <c r="AD14" s="426"/>
      <c r="AE14" s="426"/>
      <c r="AF14" s="426"/>
      <c r="AG14" s="426"/>
      <c r="AH14" s="426"/>
      <c r="AI14" s="426"/>
      <c r="AJ14" s="426"/>
      <c r="AK14" s="426"/>
      <c r="AL14" s="426"/>
      <c r="AM14" s="426"/>
      <c r="AN14" s="426"/>
      <c r="AO14" s="426"/>
      <c r="AP14" s="426"/>
      <c r="AQ14" s="426"/>
      <c r="AR14" s="585" t="s">
        <v>792</v>
      </c>
      <c r="AS14" s="426"/>
      <c r="AT14" s="426"/>
      <c r="AU14" s="426"/>
      <c r="AV14" s="585" t="s">
        <v>792</v>
      </c>
      <c r="AW14" s="426"/>
      <c r="AX14" s="426"/>
      <c r="AY14" s="426"/>
      <c r="AZ14" s="428"/>
    </row>
    <row r="15" spans="1:116" ht="14.4" x14ac:dyDescent="0.3">
      <c r="B15" s="425">
        <f t="shared" si="0"/>
        <v>8</v>
      </c>
      <c r="C15" s="95" t="s">
        <v>186</v>
      </c>
      <c r="D15" s="429" t="s">
        <v>350</v>
      </c>
      <c r="E15" s="429" t="s">
        <v>794</v>
      </c>
      <c r="F15" s="429" t="s">
        <v>677</v>
      </c>
      <c r="G15" s="91">
        <v>547.98</v>
      </c>
      <c r="H15" s="486">
        <v>649</v>
      </c>
      <c r="I15" s="585" t="s">
        <v>792</v>
      </c>
      <c r="J15" s="426"/>
      <c r="K15" s="426"/>
      <c r="L15" s="426"/>
      <c r="M15" s="585" t="s">
        <v>792</v>
      </c>
      <c r="N15" s="426"/>
      <c r="O15" s="426"/>
      <c r="P15" s="426"/>
      <c r="Q15" s="426"/>
      <c r="R15" s="426"/>
      <c r="S15" s="426"/>
      <c r="T15" s="426"/>
      <c r="U15" s="426"/>
      <c r="V15" s="426"/>
      <c r="W15" s="426"/>
      <c r="X15" s="426"/>
      <c r="Y15" s="426"/>
      <c r="Z15" s="426"/>
      <c r="AA15" s="426"/>
      <c r="AB15" s="426"/>
      <c r="AC15" s="426"/>
      <c r="AD15" s="426"/>
      <c r="AE15" s="426"/>
      <c r="AF15" s="426"/>
      <c r="AG15" s="426"/>
      <c r="AH15" s="426"/>
      <c r="AI15" s="426"/>
      <c r="AJ15" s="426"/>
      <c r="AK15" s="426"/>
      <c r="AL15" s="426"/>
      <c r="AM15" s="426"/>
      <c r="AN15" s="426"/>
      <c r="AO15" s="426"/>
      <c r="AP15" s="426"/>
      <c r="AQ15" s="426"/>
      <c r="AR15" s="585" t="s">
        <v>792</v>
      </c>
      <c r="AS15" s="426"/>
      <c r="AT15" s="426"/>
      <c r="AU15" s="426"/>
      <c r="AV15" s="585" t="s">
        <v>792</v>
      </c>
      <c r="AW15" s="426"/>
      <c r="AX15" s="426"/>
      <c r="AY15" s="426"/>
      <c r="AZ15" s="428"/>
    </row>
    <row r="16" spans="1:116" ht="14.4" x14ac:dyDescent="0.3">
      <c r="B16" s="498">
        <f t="shared" si="0"/>
        <v>9</v>
      </c>
      <c r="C16" s="95" t="s">
        <v>1036</v>
      </c>
      <c r="D16" s="429" t="s">
        <v>350</v>
      </c>
      <c r="E16" s="429" t="s">
        <v>794</v>
      </c>
      <c r="F16" s="429" t="s">
        <v>677</v>
      </c>
      <c r="G16" s="91">
        <v>612.14</v>
      </c>
      <c r="H16" s="486">
        <v>725</v>
      </c>
      <c r="I16" s="585" t="s">
        <v>792</v>
      </c>
      <c r="J16" s="426"/>
      <c r="K16" s="426"/>
      <c r="L16" s="426"/>
      <c r="M16" s="585" t="s">
        <v>792</v>
      </c>
      <c r="N16" s="426"/>
      <c r="O16" s="426"/>
      <c r="P16" s="426"/>
      <c r="Q16" s="426"/>
      <c r="R16" s="426"/>
      <c r="S16" s="426"/>
      <c r="T16" s="426"/>
      <c r="U16" s="426"/>
      <c r="V16" s="426"/>
      <c r="W16" s="426"/>
      <c r="X16" s="426"/>
      <c r="Y16" s="426"/>
      <c r="Z16" s="426"/>
      <c r="AA16" s="426"/>
      <c r="AB16" s="426"/>
      <c r="AC16" s="426"/>
      <c r="AD16" s="426"/>
      <c r="AE16" s="426"/>
      <c r="AF16" s="426"/>
      <c r="AG16" s="426"/>
      <c r="AH16" s="426"/>
      <c r="AI16" s="426"/>
      <c r="AJ16" s="426"/>
      <c r="AK16" s="426"/>
      <c r="AL16" s="426"/>
      <c r="AM16" s="426"/>
      <c r="AN16" s="426"/>
      <c r="AO16" s="426"/>
      <c r="AP16" s="426"/>
      <c r="AQ16" s="426"/>
      <c r="AR16" s="585" t="s">
        <v>792</v>
      </c>
      <c r="AS16" s="426"/>
      <c r="AT16" s="426"/>
      <c r="AU16" s="426"/>
      <c r="AV16" s="585" t="s">
        <v>792</v>
      </c>
      <c r="AW16" s="426"/>
      <c r="AX16" s="426"/>
      <c r="AY16" s="426"/>
      <c r="AZ16" s="428"/>
    </row>
    <row r="17" spans="2:52" ht="14.4" x14ac:dyDescent="0.3">
      <c r="B17" s="425">
        <f t="shared" si="0"/>
        <v>10</v>
      </c>
      <c r="C17" s="95" t="s">
        <v>188</v>
      </c>
      <c r="D17" s="429" t="s">
        <v>350</v>
      </c>
      <c r="E17" s="429" t="s">
        <v>794</v>
      </c>
      <c r="F17" s="429" t="s">
        <v>677</v>
      </c>
      <c r="G17" s="91">
        <v>843.5</v>
      </c>
      <c r="H17" s="486">
        <v>999</v>
      </c>
      <c r="I17" s="585" t="s">
        <v>792</v>
      </c>
      <c r="J17" s="426"/>
      <c r="K17" s="426"/>
      <c r="L17" s="426"/>
      <c r="M17" s="585" t="s">
        <v>792</v>
      </c>
      <c r="N17" s="426"/>
      <c r="O17" s="426"/>
      <c r="P17" s="426"/>
      <c r="Q17" s="426"/>
      <c r="R17" s="426"/>
      <c r="S17" s="426"/>
      <c r="T17" s="426"/>
      <c r="U17" s="426"/>
      <c r="V17" s="426"/>
      <c r="W17" s="426"/>
      <c r="X17" s="426"/>
      <c r="Y17" s="426"/>
      <c r="Z17" s="426"/>
      <c r="AA17" s="426"/>
      <c r="AB17" s="426"/>
      <c r="AC17" s="426"/>
      <c r="AD17" s="426"/>
      <c r="AE17" s="426"/>
      <c r="AF17" s="426"/>
      <c r="AG17" s="426"/>
      <c r="AH17" s="426"/>
      <c r="AI17" s="426"/>
      <c r="AJ17" s="426"/>
      <c r="AK17" s="426"/>
      <c r="AL17" s="426"/>
      <c r="AM17" s="426"/>
      <c r="AN17" s="426"/>
      <c r="AO17" s="426"/>
      <c r="AP17" s="426"/>
      <c r="AQ17" s="426"/>
      <c r="AR17" s="585" t="s">
        <v>792</v>
      </c>
      <c r="AS17" s="426"/>
      <c r="AT17" s="426"/>
      <c r="AU17" s="426"/>
      <c r="AV17" s="585" t="s">
        <v>792</v>
      </c>
      <c r="AW17" s="426"/>
      <c r="AX17" s="426"/>
      <c r="AY17" s="426"/>
      <c r="AZ17" s="428"/>
    </row>
    <row r="18" spans="2:52" ht="14.4" outlineLevel="1" x14ac:dyDescent="0.3">
      <c r="B18" s="425">
        <f t="shared" si="0"/>
        <v>11</v>
      </c>
      <c r="C18" s="95" t="s">
        <v>190</v>
      </c>
      <c r="D18" s="429" t="s">
        <v>350</v>
      </c>
      <c r="E18" s="429" t="s">
        <v>794</v>
      </c>
      <c r="F18" s="429" t="s">
        <v>677</v>
      </c>
      <c r="G18" s="91">
        <v>1181.23</v>
      </c>
      <c r="H18" s="486">
        <v>1399</v>
      </c>
      <c r="I18" s="585" t="s">
        <v>792</v>
      </c>
      <c r="J18" s="426"/>
      <c r="K18" s="426"/>
      <c r="L18" s="426"/>
      <c r="M18" s="585" t="s">
        <v>792</v>
      </c>
      <c r="N18" s="426"/>
      <c r="O18" s="426"/>
      <c r="P18" s="426"/>
      <c r="Q18" s="426"/>
      <c r="R18" s="426"/>
      <c r="S18" s="426"/>
      <c r="T18" s="426"/>
      <c r="U18" s="426"/>
      <c r="V18" s="426"/>
      <c r="W18" s="426"/>
      <c r="X18" s="426"/>
      <c r="Y18" s="426"/>
      <c r="Z18" s="426"/>
      <c r="AA18" s="426"/>
      <c r="AB18" s="426"/>
      <c r="AC18" s="426"/>
      <c r="AD18" s="426"/>
      <c r="AE18" s="426"/>
      <c r="AF18" s="426"/>
      <c r="AG18" s="426"/>
      <c r="AH18" s="426"/>
      <c r="AI18" s="426"/>
      <c r="AJ18" s="426"/>
      <c r="AK18" s="426"/>
      <c r="AL18" s="426"/>
      <c r="AM18" s="426"/>
      <c r="AN18" s="426"/>
      <c r="AO18" s="426"/>
      <c r="AP18" s="426"/>
      <c r="AQ18" s="426"/>
      <c r="AR18" s="585" t="s">
        <v>792</v>
      </c>
      <c r="AS18" s="426"/>
      <c r="AT18" s="426"/>
      <c r="AU18" s="426"/>
      <c r="AV18" s="585" t="s">
        <v>792</v>
      </c>
      <c r="AW18" s="426"/>
      <c r="AX18" s="426"/>
      <c r="AY18" s="426"/>
      <c r="AZ18" s="428"/>
    </row>
    <row r="19" spans="2:52" ht="14.4" outlineLevel="1" x14ac:dyDescent="0.3">
      <c r="B19" s="425">
        <f t="shared" si="0"/>
        <v>12</v>
      </c>
      <c r="C19" s="95" t="s">
        <v>167</v>
      </c>
      <c r="D19" s="429" t="s">
        <v>350</v>
      </c>
      <c r="E19" s="429" t="s">
        <v>791</v>
      </c>
      <c r="F19" s="429" t="s">
        <v>677</v>
      </c>
      <c r="G19" s="91">
        <v>240.52</v>
      </c>
      <c r="H19" s="486">
        <v>279</v>
      </c>
      <c r="I19" s="585" t="s">
        <v>792</v>
      </c>
      <c r="J19" s="426"/>
      <c r="K19" s="426"/>
      <c r="L19" s="426"/>
      <c r="M19" s="585" t="s">
        <v>792</v>
      </c>
      <c r="N19" s="426"/>
      <c r="O19" s="426"/>
      <c r="P19" s="426"/>
      <c r="Q19" s="426"/>
      <c r="R19" s="426"/>
      <c r="S19" s="426"/>
      <c r="T19" s="426"/>
      <c r="U19" s="426"/>
      <c r="V19" s="426"/>
      <c r="W19" s="426"/>
      <c r="X19" s="426"/>
      <c r="Y19" s="426"/>
      <c r="Z19" s="426"/>
      <c r="AA19" s="426"/>
      <c r="AB19" s="426"/>
      <c r="AC19" s="426"/>
      <c r="AD19" s="426"/>
      <c r="AE19" s="426"/>
      <c r="AF19" s="426"/>
      <c r="AG19" s="426"/>
      <c r="AH19" s="426"/>
      <c r="AI19" s="426"/>
      <c r="AJ19" s="426"/>
      <c r="AK19" s="426"/>
      <c r="AL19" s="426"/>
      <c r="AM19" s="426"/>
      <c r="AN19" s="426"/>
      <c r="AO19" s="426"/>
      <c r="AP19" s="426"/>
      <c r="AQ19" s="426"/>
      <c r="AR19" s="585" t="s">
        <v>792</v>
      </c>
      <c r="AS19" s="426"/>
      <c r="AT19" s="426"/>
      <c r="AU19" s="426"/>
      <c r="AV19" s="585" t="s">
        <v>792</v>
      </c>
      <c r="AW19" s="426"/>
      <c r="AX19" s="426"/>
      <c r="AY19" s="426"/>
      <c r="AZ19" s="428"/>
    </row>
    <row r="20" spans="2:52" ht="14.4" outlineLevel="1" x14ac:dyDescent="0.3">
      <c r="B20" s="425">
        <f t="shared" si="0"/>
        <v>13</v>
      </c>
      <c r="C20" s="513" t="s">
        <v>170</v>
      </c>
      <c r="D20" s="429" t="s">
        <v>350</v>
      </c>
      <c r="E20" s="429" t="s">
        <v>791</v>
      </c>
      <c r="F20" s="429" t="s">
        <v>677</v>
      </c>
      <c r="G20" s="91">
        <v>257.76</v>
      </c>
      <c r="H20" s="486">
        <v>299</v>
      </c>
      <c r="I20" s="585" t="s">
        <v>792</v>
      </c>
      <c r="J20" s="426"/>
      <c r="K20" s="426"/>
      <c r="L20" s="426"/>
      <c r="M20" s="585" t="s">
        <v>792</v>
      </c>
      <c r="N20" s="426"/>
      <c r="O20" s="426"/>
      <c r="P20" s="426"/>
      <c r="Q20" s="426"/>
      <c r="R20" s="426"/>
      <c r="S20" s="426"/>
      <c r="T20" s="426"/>
      <c r="U20" s="426"/>
      <c r="V20" s="426"/>
      <c r="W20" s="426"/>
      <c r="X20" s="426"/>
      <c r="Y20" s="426"/>
      <c r="Z20" s="426"/>
      <c r="AA20" s="426"/>
      <c r="AB20" s="426"/>
      <c r="AC20" s="426"/>
      <c r="AD20" s="426"/>
      <c r="AE20" s="426"/>
      <c r="AF20" s="426"/>
      <c r="AG20" s="426"/>
      <c r="AH20" s="426"/>
      <c r="AI20" s="426"/>
      <c r="AJ20" s="426"/>
      <c r="AK20" s="426"/>
      <c r="AL20" s="426"/>
      <c r="AM20" s="426"/>
      <c r="AN20" s="426"/>
      <c r="AO20" s="426"/>
      <c r="AP20" s="426"/>
      <c r="AQ20" s="426"/>
      <c r="AR20" s="585" t="s">
        <v>792</v>
      </c>
      <c r="AS20" s="426"/>
      <c r="AT20" s="426"/>
      <c r="AU20" s="426"/>
      <c r="AV20" s="585" t="s">
        <v>792</v>
      </c>
      <c r="AW20" s="426"/>
      <c r="AX20" s="426"/>
      <c r="AY20" s="426"/>
      <c r="AZ20" s="428"/>
    </row>
    <row r="21" spans="2:52" ht="14.4" outlineLevel="1" x14ac:dyDescent="0.3">
      <c r="B21" s="425">
        <f t="shared" si="0"/>
        <v>14</v>
      </c>
      <c r="C21" s="95" t="s">
        <v>174</v>
      </c>
      <c r="D21" s="429" t="s">
        <v>350</v>
      </c>
      <c r="E21" s="429" t="s">
        <v>791</v>
      </c>
      <c r="F21" s="429" t="s">
        <v>677</v>
      </c>
      <c r="G21" s="91">
        <v>300.86</v>
      </c>
      <c r="H21" s="486">
        <v>348.99759999999998</v>
      </c>
      <c r="I21" s="585" t="s">
        <v>792</v>
      </c>
      <c r="J21" s="426"/>
      <c r="K21" s="426"/>
      <c r="L21" s="426"/>
      <c r="M21" s="585" t="s">
        <v>792</v>
      </c>
      <c r="N21" s="426"/>
      <c r="O21" s="426"/>
      <c r="P21" s="426"/>
      <c r="Q21" s="426"/>
      <c r="R21" s="426"/>
      <c r="S21" s="426"/>
      <c r="T21" s="426"/>
      <c r="U21" s="426"/>
      <c r="V21" s="426"/>
      <c r="W21" s="426"/>
      <c r="X21" s="426"/>
      <c r="Y21" s="426"/>
      <c r="Z21" s="426"/>
      <c r="AA21" s="426"/>
      <c r="AB21" s="426"/>
      <c r="AC21" s="426"/>
      <c r="AD21" s="426"/>
      <c r="AE21" s="426"/>
      <c r="AF21" s="426"/>
      <c r="AG21" s="426"/>
      <c r="AH21" s="426"/>
      <c r="AI21" s="426"/>
      <c r="AJ21" s="426"/>
      <c r="AK21" s="426"/>
      <c r="AL21" s="426"/>
      <c r="AM21" s="426"/>
      <c r="AN21" s="426"/>
      <c r="AO21" s="426"/>
      <c r="AP21" s="426"/>
      <c r="AQ21" s="426"/>
      <c r="AR21" s="585" t="s">
        <v>792</v>
      </c>
      <c r="AS21" s="426"/>
      <c r="AT21" s="426"/>
      <c r="AU21" s="426"/>
      <c r="AV21" s="585" t="s">
        <v>792</v>
      </c>
      <c r="AW21" s="426"/>
      <c r="AX21" s="426"/>
      <c r="AY21" s="426"/>
      <c r="AZ21" s="428"/>
    </row>
    <row r="22" spans="2:52" ht="14.4" outlineLevel="1" x14ac:dyDescent="0.3">
      <c r="B22" s="425">
        <f t="shared" si="0"/>
        <v>15</v>
      </c>
      <c r="C22" s="95" t="s">
        <v>177</v>
      </c>
      <c r="D22" s="429" t="s">
        <v>350</v>
      </c>
      <c r="E22" s="429" t="s">
        <v>791</v>
      </c>
      <c r="F22" s="429" t="s">
        <v>677</v>
      </c>
      <c r="G22" s="91">
        <v>343.97</v>
      </c>
      <c r="H22" s="486">
        <v>398.99520000000001</v>
      </c>
      <c r="I22" s="585" t="s">
        <v>792</v>
      </c>
      <c r="J22" s="426"/>
      <c r="K22" s="426"/>
      <c r="L22" s="426"/>
      <c r="M22" s="585" t="s">
        <v>792</v>
      </c>
      <c r="N22" s="426"/>
      <c r="O22" s="426"/>
      <c r="P22" s="426"/>
      <c r="Q22" s="426"/>
      <c r="R22" s="426"/>
      <c r="S22" s="426"/>
      <c r="T22" s="426"/>
      <c r="U22" s="426"/>
      <c r="V22" s="426"/>
      <c r="W22" s="426"/>
      <c r="X22" s="426"/>
      <c r="Y22" s="426"/>
      <c r="Z22" s="426"/>
      <c r="AA22" s="426"/>
      <c r="AB22" s="426"/>
      <c r="AC22" s="426"/>
      <c r="AD22" s="426"/>
      <c r="AE22" s="426"/>
      <c r="AF22" s="426"/>
      <c r="AG22" s="426"/>
      <c r="AH22" s="426"/>
      <c r="AI22" s="426"/>
      <c r="AJ22" s="426"/>
      <c r="AK22" s="426"/>
      <c r="AL22" s="426"/>
      <c r="AM22" s="426"/>
      <c r="AN22" s="426"/>
      <c r="AO22" s="426"/>
      <c r="AP22" s="426"/>
      <c r="AQ22" s="426"/>
      <c r="AR22" s="585" t="s">
        <v>792</v>
      </c>
      <c r="AS22" s="426"/>
      <c r="AT22" s="426"/>
      <c r="AU22" s="426"/>
      <c r="AV22" s="585" t="s">
        <v>792</v>
      </c>
      <c r="AW22" s="426"/>
      <c r="AX22" s="426"/>
      <c r="AY22" s="426"/>
      <c r="AZ22" s="428"/>
    </row>
    <row r="23" spans="2:52" ht="14.4" outlineLevel="1" x14ac:dyDescent="0.3">
      <c r="B23" s="425">
        <f t="shared" si="0"/>
        <v>16</v>
      </c>
      <c r="C23" s="95" t="s">
        <v>180</v>
      </c>
      <c r="D23" s="429" t="s">
        <v>350</v>
      </c>
      <c r="E23" s="429" t="s">
        <v>791</v>
      </c>
      <c r="F23" s="429" t="s">
        <v>677</v>
      </c>
      <c r="G23" s="91">
        <v>387.07</v>
      </c>
      <c r="H23" s="486">
        <v>449</v>
      </c>
      <c r="I23" s="585" t="s">
        <v>792</v>
      </c>
      <c r="J23" s="426"/>
      <c r="K23" s="426"/>
      <c r="L23" s="426"/>
      <c r="M23" s="585" t="s">
        <v>792</v>
      </c>
      <c r="N23" s="426"/>
      <c r="O23" s="426"/>
      <c r="P23" s="426"/>
      <c r="Q23" s="426"/>
      <c r="R23" s="426"/>
      <c r="S23" s="426"/>
      <c r="T23" s="426"/>
      <c r="U23" s="426"/>
      <c r="V23" s="426"/>
      <c r="W23" s="426"/>
      <c r="X23" s="426"/>
      <c r="Y23" s="426"/>
      <c r="Z23" s="426"/>
      <c r="AA23" s="426"/>
      <c r="AB23" s="426"/>
      <c r="AC23" s="426"/>
      <c r="AD23" s="426"/>
      <c r="AE23" s="426"/>
      <c r="AF23" s="426"/>
      <c r="AG23" s="426"/>
      <c r="AH23" s="426"/>
      <c r="AI23" s="426"/>
      <c r="AJ23" s="426"/>
      <c r="AK23" s="426"/>
      <c r="AL23" s="426"/>
      <c r="AM23" s="426"/>
      <c r="AN23" s="426"/>
      <c r="AO23" s="426"/>
      <c r="AP23" s="426"/>
      <c r="AQ23" s="426"/>
      <c r="AR23" s="585" t="s">
        <v>792</v>
      </c>
      <c r="AS23" s="426"/>
      <c r="AT23" s="426"/>
      <c r="AU23" s="426"/>
      <c r="AV23" s="585" t="s">
        <v>792</v>
      </c>
      <c r="AW23" s="426"/>
      <c r="AX23" s="426"/>
      <c r="AY23" s="426"/>
      <c r="AZ23" s="428"/>
    </row>
    <row r="24" spans="2:52" ht="14.4" outlineLevel="1" x14ac:dyDescent="0.3">
      <c r="B24" s="498">
        <f t="shared" si="0"/>
        <v>17</v>
      </c>
      <c r="C24" s="95" t="s">
        <v>1037</v>
      </c>
      <c r="D24" s="429" t="s">
        <v>350</v>
      </c>
      <c r="E24" s="429" t="s">
        <v>791</v>
      </c>
      <c r="F24" s="429" t="s">
        <v>677</v>
      </c>
      <c r="G24" s="91">
        <v>430.17</v>
      </c>
      <c r="H24" s="486">
        <v>499</v>
      </c>
      <c r="I24" s="585" t="s">
        <v>792</v>
      </c>
      <c r="J24" s="426"/>
      <c r="K24" s="426"/>
      <c r="L24" s="426"/>
      <c r="M24" s="585" t="s">
        <v>792</v>
      </c>
      <c r="N24" s="426"/>
      <c r="O24" s="426"/>
      <c r="P24" s="426"/>
      <c r="Q24" s="426"/>
      <c r="R24" s="426"/>
      <c r="S24" s="426"/>
      <c r="T24" s="426"/>
      <c r="U24" s="426"/>
      <c r="V24" s="426"/>
      <c r="W24" s="426"/>
      <c r="X24" s="426"/>
      <c r="Y24" s="426"/>
      <c r="Z24" s="426"/>
      <c r="AA24" s="426"/>
      <c r="AB24" s="426"/>
      <c r="AC24" s="426"/>
      <c r="AD24" s="426"/>
      <c r="AE24" s="426"/>
      <c r="AF24" s="426"/>
      <c r="AG24" s="426"/>
      <c r="AH24" s="426"/>
      <c r="AI24" s="426"/>
      <c r="AJ24" s="426"/>
      <c r="AK24" s="426"/>
      <c r="AL24" s="426"/>
      <c r="AM24" s="426"/>
      <c r="AN24" s="426"/>
      <c r="AO24" s="426"/>
      <c r="AP24" s="426"/>
      <c r="AQ24" s="426"/>
      <c r="AR24" s="585" t="s">
        <v>792</v>
      </c>
      <c r="AS24" s="426"/>
      <c r="AT24" s="426"/>
      <c r="AU24" s="426"/>
      <c r="AV24" s="585" t="s">
        <v>792</v>
      </c>
      <c r="AW24" s="426"/>
      <c r="AX24" s="426"/>
      <c r="AY24" s="426"/>
      <c r="AZ24" s="428"/>
    </row>
    <row r="25" spans="2:52" ht="14.4" outlineLevel="1" x14ac:dyDescent="0.3">
      <c r="B25" s="425">
        <f t="shared" si="0"/>
        <v>18</v>
      </c>
      <c r="C25" s="95" t="s">
        <v>182</v>
      </c>
      <c r="D25" s="429" t="s">
        <v>350</v>
      </c>
      <c r="E25" s="429" t="s">
        <v>791</v>
      </c>
      <c r="F25" s="429" t="s">
        <v>677</v>
      </c>
      <c r="G25" s="91">
        <v>473.28</v>
      </c>
      <c r="H25" s="486">
        <v>549</v>
      </c>
      <c r="I25" s="585" t="s">
        <v>792</v>
      </c>
      <c r="J25" s="426"/>
      <c r="K25" s="426"/>
      <c r="L25" s="426"/>
      <c r="M25" s="585" t="s">
        <v>792</v>
      </c>
      <c r="N25" s="426"/>
      <c r="O25" s="426"/>
      <c r="P25" s="426"/>
      <c r="Q25" s="426"/>
      <c r="R25" s="426"/>
      <c r="S25" s="426"/>
      <c r="T25" s="426"/>
      <c r="U25" s="426"/>
      <c r="V25" s="426"/>
      <c r="W25" s="426"/>
      <c r="X25" s="426"/>
      <c r="Y25" s="426"/>
      <c r="Z25" s="426"/>
      <c r="AA25" s="426"/>
      <c r="AB25" s="426"/>
      <c r="AC25" s="426"/>
      <c r="AD25" s="426"/>
      <c r="AE25" s="426"/>
      <c r="AF25" s="426"/>
      <c r="AG25" s="426"/>
      <c r="AH25" s="426"/>
      <c r="AI25" s="426"/>
      <c r="AJ25" s="426"/>
      <c r="AK25" s="426"/>
      <c r="AL25" s="426"/>
      <c r="AM25" s="426"/>
      <c r="AN25" s="426"/>
      <c r="AO25" s="426"/>
      <c r="AP25" s="426"/>
      <c r="AQ25" s="426"/>
      <c r="AR25" s="585" t="s">
        <v>792</v>
      </c>
      <c r="AS25" s="426"/>
      <c r="AT25" s="426"/>
      <c r="AU25" s="426"/>
      <c r="AV25" s="585" t="s">
        <v>792</v>
      </c>
      <c r="AW25" s="426"/>
      <c r="AX25" s="426"/>
      <c r="AY25" s="426"/>
      <c r="AZ25" s="428"/>
    </row>
    <row r="26" spans="2:52" ht="14.4" outlineLevel="1" x14ac:dyDescent="0.3">
      <c r="B26" s="498">
        <f t="shared" si="0"/>
        <v>19</v>
      </c>
      <c r="C26" s="95" t="s">
        <v>1038</v>
      </c>
      <c r="D26" s="429" t="s">
        <v>350</v>
      </c>
      <c r="E26" s="429" t="s">
        <v>791</v>
      </c>
      <c r="F26" s="429" t="s">
        <v>677</v>
      </c>
      <c r="G26" s="91">
        <v>559.48</v>
      </c>
      <c r="H26" s="486">
        <v>649</v>
      </c>
      <c r="I26" s="585" t="s">
        <v>792</v>
      </c>
      <c r="J26" s="426"/>
      <c r="K26" s="426"/>
      <c r="L26" s="426"/>
      <c r="M26" s="585" t="s">
        <v>792</v>
      </c>
      <c r="N26" s="426"/>
      <c r="O26" s="426"/>
      <c r="P26" s="426"/>
      <c r="Q26" s="426"/>
      <c r="R26" s="426"/>
      <c r="S26" s="426"/>
      <c r="T26" s="426"/>
      <c r="U26" s="426"/>
      <c r="V26" s="426"/>
      <c r="W26" s="426"/>
      <c r="X26" s="426"/>
      <c r="Y26" s="426"/>
      <c r="Z26" s="426"/>
      <c r="AA26" s="426"/>
      <c r="AB26" s="426"/>
      <c r="AC26" s="426"/>
      <c r="AD26" s="426"/>
      <c r="AE26" s="426"/>
      <c r="AF26" s="426"/>
      <c r="AG26" s="426"/>
      <c r="AH26" s="426"/>
      <c r="AI26" s="426"/>
      <c r="AJ26" s="426"/>
      <c r="AK26" s="426"/>
      <c r="AL26" s="426"/>
      <c r="AM26" s="426"/>
      <c r="AN26" s="426"/>
      <c r="AO26" s="426"/>
      <c r="AP26" s="426"/>
      <c r="AQ26" s="426"/>
      <c r="AR26" s="585" t="s">
        <v>792</v>
      </c>
      <c r="AS26" s="426"/>
      <c r="AT26" s="426"/>
      <c r="AU26" s="426"/>
      <c r="AV26" s="585" t="s">
        <v>792</v>
      </c>
      <c r="AW26" s="426"/>
      <c r="AX26" s="426"/>
      <c r="AY26" s="426"/>
      <c r="AZ26" s="428"/>
    </row>
    <row r="27" spans="2:52" ht="14.4" outlineLevel="1" x14ac:dyDescent="0.3">
      <c r="B27" s="425">
        <f t="shared" si="0"/>
        <v>20</v>
      </c>
      <c r="C27" s="95" t="s">
        <v>184</v>
      </c>
      <c r="D27" s="429" t="s">
        <v>350</v>
      </c>
      <c r="E27" s="429" t="s">
        <v>791</v>
      </c>
      <c r="F27" s="429" t="s">
        <v>677</v>
      </c>
      <c r="G27" s="91">
        <v>775</v>
      </c>
      <c r="H27" s="486">
        <v>898.99999999999989</v>
      </c>
      <c r="I27" s="585" t="s">
        <v>792</v>
      </c>
      <c r="J27" s="426"/>
      <c r="K27" s="426"/>
      <c r="L27" s="426"/>
      <c r="M27" s="585" t="s">
        <v>792</v>
      </c>
      <c r="N27" s="426"/>
      <c r="O27" s="426"/>
      <c r="P27" s="426"/>
      <c r="Q27" s="426"/>
      <c r="R27" s="426"/>
      <c r="S27" s="426"/>
      <c r="T27" s="426"/>
      <c r="U27" s="426"/>
      <c r="V27" s="426"/>
      <c r="W27" s="426"/>
      <c r="X27" s="426"/>
      <c r="Y27" s="426"/>
      <c r="Z27" s="426"/>
      <c r="AA27" s="426"/>
      <c r="AB27" s="426"/>
      <c r="AC27" s="426"/>
      <c r="AD27" s="426"/>
      <c r="AE27" s="426"/>
      <c r="AF27" s="426"/>
      <c r="AG27" s="426"/>
      <c r="AH27" s="426"/>
      <c r="AI27" s="426"/>
      <c r="AJ27" s="426"/>
      <c r="AK27" s="426"/>
      <c r="AL27" s="426"/>
      <c r="AM27" s="426"/>
      <c r="AN27" s="426"/>
      <c r="AO27" s="426"/>
      <c r="AP27" s="426"/>
      <c r="AQ27" s="426"/>
      <c r="AR27" s="585" t="s">
        <v>792</v>
      </c>
      <c r="AS27" s="426"/>
      <c r="AT27" s="426"/>
      <c r="AU27" s="426"/>
      <c r="AV27" s="585" t="s">
        <v>792</v>
      </c>
      <c r="AW27" s="426"/>
      <c r="AX27" s="426"/>
      <c r="AY27" s="426"/>
      <c r="AZ27" s="428"/>
    </row>
    <row r="28" spans="2:52" ht="14.4" outlineLevel="1" x14ac:dyDescent="0.3">
      <c r="B28" s="425">
        <f t="shared" si="0"/>
        <v>21</v>
      </c>
      <c r="C28" s="95" t="s">
        <v>194</v>
      </c>
      <c r="D28" s="429" t="s">
        <v>1039</v>
      </c>
      <c r="E28" s="429" t="s">
        <v>794</v>
      </c>
      <c r="F28" s="429" t="s">
        <v>677</v>
      </c>
      <c r="G28" s="91">
        <v>336.9</v>
      </c>
      <c r="H28" s="486">
        <v>399</v>
      </c>
      <c r="I28" s="585" t="s">
        <v>792</v>
      </c>
      <c r="J28" s="426"/>
      <c r="K28" s="426"/>
      <c r="L28" s="426"/>
      <c r="M28" s="585" t="s">
        <v>792</v>
      </c>
      <c r="N28" s="426"/>
      <c r="O28" s="426"/>
      <c r="P28" s="426"/>
      <c r="Q28" s="426"/>
      <c r="R28" s="426"/>
      <c r="S28" s="426"/>
      <c r="T28" s="426"/>
      <c r="U28" s="426"/>
      <c r="V28" s="426"/>
      <c r="W28" s="426"/>
      <c r="X28" s="426"/>
      <c r="Y28" s="426"/>
      <c r="Z28" s="426"/>
      <c r="AA28" s="426"/>
      <c r="AB28" s="426"/>
      <c r="AC28" s="426"/>
      <c r="AD28" s="426"/>
      <c r="AE28" s="426"/>
      <c r="AF28" s="426"/>
      <c r="AG28" s="426"/>
      <c r="AH28" s="426"/>
      <c r="AI28" s="426"/>
      <c r="AJ28" s="426"/>
      <c r="AK28" s="426"/>
      <c r="AL28" s="426"/>
      <c r="AM28" s="426"/>
      <c r="AN28" s="426"/>
      <c r="AO28" s="426"/>
      <c r="AP28" s="426"/>
      <c r="AQ28" s="426"/>
      <c r="AR28" s="585" t="s">
        <v>792</v>
      </c>
      <c r="AS28" s="426"/>
      <c r="AT28" s="426"/>
      <c r="AU28" s="426"/>
      <c r="AV28" s="585" t="s">
        <v>792</v>
      </c>
      <c r="AW28" s="426"/>
      <c r="AX28" s="426"/>
      <c r="AY28" s="426"/>
      <c r="AZ28" s="428"/>
    </row>
    <row r="29" spans="2:52" ht="14.4" outlineLevel="1" x14ac:dyDescent="0.3">
      <c r="B29" s="425">
        <f t="shared" si="0"/>
        <v>22</v>
      </c>
      <c r="C29" s="95" t="s">
        <v>196</v>
      </c>
      <c r="D29" s="429" t="s">
        <v>1039</v>
      </c>
      <c r="E29" s="429" t="s">
        <v>794</v>
      </c>
      <c r="F29" s="429" t="s">
        <v>677</v>
      </c>
      <c r="G29" s="91">
        <v>463.55</v>
      </c>
      <c r="H29" s="486">
        <v>549</v>
      </c>
      <c r="I29" s="585" t="s">
        <v>792</v>
      </c>
      <c r="J29" s="426"/>
      <c r="K29" s="426"/>
      <c r="L29" s="426"/>
      <c r="M29" s="585" t="s">
        <v>792</v>
      </c>
      <c r="N29" s="426"/>
      <c r="O29" s="426"/>
      <c r="P29" s="426"/>
      <c r="Q29" s="426"/>
      <c r="R29" s="426"/>
      <c r="S29" s="426"/>
      <c r="T29" s="426"/>
      <c r="U29" s="426"/>
      <c r="V29" s="426"/>
      <c r="W29" s="426"/>
      <c r="X29" s="426"/>
      <c r="Y29" s="426"/>
      <c r="Z29" s="426"/>
      <c r="AA29" s="426"/>
      <c r="AB29" s="426"/>
      <c r="AC29" s="426"/>
      <c r="AD29" s="426"/>
      <c r="AE29" s="426"/>
      <c r="AF29" s="426"/>
      <c r="AG29" s="426"/>
      <c r="AH29" s="426"/>
      <c r="AI29" s="426"/>
      <c r="AJ29" s="426"/>
      <c r="AK29" s="426"/>
      <c r="AL29" s="426"/>
      <c r="AM29" s="426"/>
      <c r="AN29" s="426"/>
      <c r="AO29" s="426"/>
      <c r="AP29" s="426"/>
      <c r="AQ29" s="426"/>
      <c r="AR29" s="585" t="s">
        <v>792</v>
      </c>
      <c r="AS29" s="426"/>
      <c r="AT29" s="426"/>
      <c r="AU29" s="426"/>
      <c r="AV29" s="585" t="s">
        <v>792</v>
      </c>
      <c r="AW29" s="426"/>
      <c r="AX29" s="426"/>
      <c r="AY29" s="426"/>
      <c r="AZ29" s="428"/>
    </row>
    <row r="30" spans="2:52" ht="14.4" outlineLevel="1" x14ac:dyDescent="0.3">
      <c r="B30" s="425">
        <f t="shared" si="0"/>
        <v>23</v>
      </c>
      <c r="C30" s="95" t="s">
        <v>198</v>
      </c>
      <c r="D30" s="429" t="s">
        <v>1039</v>
      </c>
      <c r="E30" s="429" t="s">
        <v>794</v>
      </c>
      <c r="F30" s="429" t="s">
        <v>677</v>
      </c>
      <c r="G30" s="91">
        <v>547.98</v>
      </c>
      <c r="H30" s="486">
        <v>649</v>
      </c>
      <c r="I30" s="585" t="s">
        <v>792</v>
      </c>
      <c r="J30" s="426"/>
      <c r="K30" s="426"/>
      <c r="L30" s="426"/>
      <c r="M30" s="585" t="s">
        <v>792</v>
      </c>
      <c r="N30" s="426"/>
      <c r="O30" s="426"/>
      <c r="P30" s="426"/>
      <c r="Q30" s="426"/>
      <c r="R30" s="426"/>
      <c r="S30" s="426"/>
      <c r="T30" s="426"/>
      <c r="U30" s="426"/>
      <c r="V30" s="426"/>
      <c r="W30" s="426"/>
      <c r="X30" s="426"/>
      <c r="Y30" s="426"/>
      <c r="Z30" s="426"/>
      <c r="AA30" s="426"/>
      <c r="AB30" s="426"/>
      <c r="AC30" s="426"/>
      <c r="AD30" s="426"/>
      <c r="AE30" s="426"/>
      <c r="AF30" s="426"/>
      <c r="AG30" s="426"/>
      <c r="AH30" s="426"/>
      <c r="AI30" s="426"/>
      <c r="AJ30" s="426"/>
      <c r="AK30" s="426"/>
      <c r="AL30" s="426"/>
      <c r="AM30" s="426"/>
      <c r="AN30" s="426"/>
      <c r="AO30" s="426"/>
      <c r="AP30" s="426"/>
      <c r="AQ30" s="426"/>
      <c r="AR30" s="585" t="s">
        <v>792</v>
      </c>
      <c r="AS30" s="426"/>
      <c r="AT30" s="426"/>
      <c r="AU30" s="426"/>
      <c r="AV30" s="585" t="s">
        <v>792</v>
      </c>
      <c r="AW30" s="426"/>
      <c r="AX30" s="426"/>
      <c r="AY30" s="426"/>
      <c r="AZ30" s="428"/>
    </row>
    <row r="31" spans="2:52" ht="14.4" outlineLevel="1" x14ac:dyDescent="0.3">
      <c r="B31" s="425">
        <f t="shared" si="0"/>
        <v>24</v>
      </c>
      <c r="C31" s="95" t="s">
        <v>200</v>
      </c>
      <c r="D31" s="429" t="s">
        <v>1039</v>
      </c>
      <c r="E31" s="429" t="s">
        <v>794</v>
      </c>
      <c r="F31" s="429" t="s">
        <v>677</v>
      </c>
      <c r="G31" s="91">
        <v>674.64</v>
      </c>
      <c r="H31" s="486">
        <v>799</v>
      </c>
      <c r="I31" s="585" t="s">
        <v>792</v>
      </c>
      <c r="J31" s="426"/>
      <c r="K31" s="426"/>
      <c r="L31" s="426"/>
      <c r="M31" s="585" t="s">
        <v>792</v>
      </c>
      <c r="N31" s="426"/>
      <c r="O31" s="426"/>
      <c r="P31" s="426"/>
      <c r="Q31" s="426"/>
      <c r="R31" s="426"/>
      <c r="S31" s="426"/>
      <c r="T31" s="426"/>
      <c r="U31" s="426"/>
      <c r="V31" s="426"/>
      <c r="W31" s="426"/>
      <c r="X31" s="426"/>
      <c r="Y31" s="426"/>
      <c r="Z31" s="426"/>
      <c r="AA31" s="426"/>
      <c r="AB31" s="426"/>
      <c r="AC31" s="426"/>
      <c r="AD31" s="426"/>
      <c r="AE31" s="426"/>
      <c r="AF31" s="426"/>
      <c r="AG31" s="426"/>
      <c r="AH31" s="426"/>
      <c r="AI31" s="426"/>
      <c r="AJ31" s="426"/>
      <c r="AK31" s="426"/>
      <c r="AL31" s="426"/>
      <c r="AM31" s="426"/>
      <c r="AN31" s="426"/>
      <c r="AO31" s="426"/>
      <c r="AP31" s="426"/>
      <c r="AQ31" s="426"/>
      <c r="AR31" s="585" t="s">
        <v>792</v>
      </c>
      <c r="AS31" s="426"/>
      <c r="AT31" s="426"/>
      <c r="AU31" s="426"/>
      <c r="AV31" s="585" t="s">
        <v>792</v>
      </c>
      <c r="AW31" s="426"/>
      <c r="AX31" s="426"/>
      <c r="AY31" s="426"/>
      <c r="AZ31" s="428"/>
    </row>
    <row r="32" spans="2:52" ht="14.4" outlineLevel="1" x14ac:dyDescent="0.3">
      <c r="B32" s="425">
        <f t="shared" si="0"/>
        <v>25</v>
      </c>
      <c r="C32" s="95" t="s">
        <v>202</v>
      </c>
      <c r="D32" s="429" t="s">
        <v>1039</v>
      </c>
      <c r="E32" s="429" t="s">
        <v>794</v>
      </c>
      <c r="F32" s="429" t="s">
        <v>677</v>
      </c>
      <c r="G32" s="91">
        <v>843.5</v>
      </c>
      <c r="H32" s="486">
        <v>999</v>
      </c>
      <c r="I32" s="585" t="s">
        <v>792</v>
      </c>
      <c r="J32" s="426"/>
      <c r="K32" s="426"/>
      <c r="L32" s="426"/>
      <c r="M32" s="585" t="s">
        <v>792</v>
      </c>
      <c r="N32" s="426"/>
      <c r="O32" s="426"/>
      <c r="P32" s="426"/>
      <c r="Q32" s="426"/>
      <c r="R32" s="426"/>
      <c r="S32" s="426"/>
      <c r="T32" s="426"/>
      <c r="U32" s="426"/>
      <c r="V32" s="426"/>
      <c r="W32" s="426"/>
      <c r="X32" s="426"/>
      <c r="Y32" s="426"/>
      <c r="Z32" s="426"/>
      <c r="AA32" s="426"/>
      <c r="AB32" s="426"/>
      <c r="AC32" s="426"/>
      <c r="AD32" s="426"/>
      <c r="AE32" s="426"/>
      <c r="AF32" s="426"/>
      <c r="AG32" s="426"/>
      <c r="AH32" s="426"/>
      <c r="AI32" s="426"/>
      <c r="AJ32" s="426"/>
      <c r="AK32" s="426"/>
      <c r="AL32" s="426"/>
      <c r="AM32" s="426"/>
      <c r="AN32" s="426"/>
      <c r="AO32" s="426"/>
      <c r="AP32" s="426"/>
      <c r="AQ32" s="426"/>
      <c r="AR32" s="585" t="s">
        <v>792</v>
      </c>
      <c r="AS32" s="426"/>
      <c r="AT32" s="426"/>
      <c r="AU32" s="426"/>
      <c r="AV32" s="585" t="s">
        <v>792</v>
      </c>
      <c r="AW32" s="426"/>
      <c r="AX32" s="426"/>
      <c r="AY32" s="426"/>
      <c r="AZ32" s="428"/>
    </row>
    <row r="33" spans="2:52" ht="14.4" outlineLevel="1" x14ac:dyDescent="0.3">
      <c r="B33" s="425">
        <f t="shared" si="0"/>
        <v>26</v>
      </c>
      <c r="C33" s="95" t="s">
        <v>203</v>
      </c>
      <c r="D33" s="429" t="s">
        <v>1039</v>
      </c>
      <c r="E33" s="429" t="s">
        <v>794</v>
      </c>
      <c r="F33" s="429" t="s">
        <v>677</v>
      </c>
      <c r="G33" s="91">
        <v>1265.6600000000001</v>
      </c>
      <c r="H33" s="486">
        <v>1499</v>
      </c>
      <c r="I33" s="585" t="s">
        <v>792</v>
      </c>
      <c r="J33" s="426"/>
      <c r="K33" s="426"/>
      <c r="L33" s="426"/>
      <c r="M33" s="585" t="s">
        <v>792</v>
      </c>
      <c r="N33" s="426"/>
      <c r="O33" s="426"/>
      <c r="P33" s="426"/>
      <c r="Q33" s="426"/>
      <c r="R33" s="426"/>
      <c r="S33" s="426"/>
      <c r="T33" s="426"/>
      <c r="U33" s="426"/>
      <c r="V33" s="426"/>
      <c r="W33" s="426"/>
      <c r="X33" s="426"/>
      <c r="Y33" s="426"/>
      <c r="Z33" s="426"/>
      <c r="AA33" s="426"/>
      <c r="AB33" s="426"/>
      <c r="AC33" s="426"/>
      <c r="AD33" s="426"/>
      <c r="AE33" s="426"/>
      <c r="AF33" s="426"/>
      <c r="AG33" s="426"/>
      <c r="AH33" s="426"/>
      <c r="AI33" s="426"/>
      <c r="AJ33" s="426"/>
      <c r="AK33" s="426"/>
      <c r="AL33" s="426"/>
      <c r="AM33" s="426"/>
      <c r="AN33" s="426"/>
      <c r="AO33" s="426"/>
      <c r="AP33" s="426"/>
      <c r="AQ33" s="426"/>
      <c r="AR33" s="585" t="s">
        <v>792</v>
      </c>
      <c r="AS33" s="426"/>
      <c r="AT33" s="426"/>
      <c r="AU33" s="426"/>
      <c r="AV33" s="585" t="s">
        <v>792</v>
      </c>
      <c r="AW33" s="426"/>
      <c r="AX33" s="426"/>
      <c r="AY33" s="426"/>
      <c r="AZ33" s="428"/>
    </row>
    <row r="34" spans="2:52" ht="14.4" outlineLevel="1" x14ac:dyDescent="0.3">
      <c r="B34" s="425">
        <f t="shared" si="0"/>
        <v>27</v>
      </c>
      <c r="C34" s="95" t="s">
        <v>204</v>
      </c>
      <c r="D34" s="429" t="s">
        <v>1039</v>
      </c>
      <c r="E34" s="429" t="s">
        <v>794</v>
      </c>
      <c r="F34" s="429" t="s">
        <v>677</v>
      </c>
      <c r="G34" s="91">
        <v>1510.52</v>
      </c>
      <c r="H34" s="486">
        <v>1789</v>
      </c>
      <c r="I34" s="585" t="s">
        <v>792</v>
      </c>
      <c r="J34" s="426"/>
      <c r="K34" s="426"/>
      <c r="L34" s="426"/>
      <c r="M34" s="585" t="s">
        <v>792</v>
      </c>
      <c r="N34" s="426"/>
      <c r="O34" s="426"/>
      <c r="P34" s="426"/>
      <c r="Q34" s="426"/>
      <c r="R34" s="426"/>
      <c r="S34" s="426"/>
      <c r="T34" s="426"/>
      <c r="U34" s="426"/>
      <c r="V34" s="426"/>
      <c r="W34" s="426"/>
      <c r="X34" s="426"/>
      <c r="Y34" s="426"/>
      <c r="Z34" s="426"/>
      <c r="AA34" s="426"/>
      <c r="AB34" s="426"/>
      <c r="AC34" s="426"/>
      <c r="AD34" s="426"/>
      <c r="AE34" s="426"/>
      <c r="AF34" s="426"/>
      <c r="AG34" s="426"/>
      <c r="AH34" s="426"/>
      <c r="AI34" s="426"/>
      <c r="AJ34" s="426"/>
      <c r="AK34" s="426"/>
      <c r="AL34" s="426"/>
      <c r="AM34" s="426"/>
      <c r="AN34" s="426"/>
      <c r="AO34" s="426"/>
      <c r="AP34" s="426"/>
      <c r="AQ34" s="426"/>
      <c r="AR34" s="585" t="s">
        <v>792</v>
      </c>
      <c r="AS34" s="426"/>
      <c r="AT34" s="426"/>
      <c r="AU34" s="426"/>
      <c r="AV34" s="585" t="s">
        <v>792</v>
      </c>
      <c r="AW34" s="426"/>
      <c r="AX34" s="426"/>
      <c r="AY34" s="426"/>
      <c r="AZ34" s="428"/>
    </row>
    <row r="35" spans="2:52" ht="14.4" outlineLevel="1" x14ac:dyDescent="0.3">
      <c r="B35" s="425">
        <f t="shared" si="0"/>
        <v>28</v>
      </c>
      <c r="C35" s="95" t="s">
        <v>205</v>
      </c>
      <c r="D35" s="429" t="s">
        <v>1039</v>
      </c>
      <c r="E35" s="429" t="s">
        <v>794</v>
      </c>
      <c r="F35" s="429" t="s">
        <v>677</v>
      </c>
      <c r="G35" s="91">
        <v>1932.69</v>
      </c>
      <c r="H35" s="486">
        <v>2289</v>
      </c>
      <c r="I35" s="585" t="s">
        <v>792</v>
      </c>
      <c r="J35" s="426"/>
      <c r="K35" s="426"/>
      <c r="L35" s="426"/>
      <c r="M35" s="585" t="s">
        <v>792</v>
      </c>
      <c r="N35" s="426"/>
      <c r="O35" s="426"/>
      <c r="P35" s="426"/>
      <c r="Q35" s="426"/>
      <c r="R35" s="426"/>
      <c r="S35" s="426"/>
      <c r="T35" s="426"/>
      <c r="U35" s="426"/>
      <c r="V35" s="426"/>
      <c r="W35" s="426"/>
      <c r="X35" s="426"/>
      <c r="Y35" s="426"/>
      <c r="Z35" s="426"/>
      <c r="AA35" s="426"/>
      <c r="AB35" s="426"/>
      <c r="AC35" s="426"/>
      <c r="AD35" s="426"/>
      <c r="AE35" s="426"/>
      <c r="AF35" s="426"/>
      <c r="AG35" s="426"/>
      <c r="AH35" s="426"/>
      <c r="AI35" s="426"/>
      <c r="AJ35" s="426"/>
      <c r="AK35" s="426"/>
      <c r="AL35" s="426"/>
      <c r="AM35" s="426"/>
      <c r="AN35" s="426"/>
      <c r="AO35" s="426"/>
      <c r="AP35" s="426"/>
      <c r="AQ35" s="426"/>
      <c r="AR35" s="585" t="s">
        <v>792</v>
      </c>
      <c r="AS35" s="426"/>
      <c r="AT35" s="426"/>
      <c r="AU35" s="426"/>
      <c r="AV35" s="585" t="s">
        <v>792</v>
      </c>
      <c r="AW35" s="426"/>
      <c r="AX35" s="426"/>
      <c r="AY35" s="426"/>
      <c r="AZ35" s="428"/>
    </row>
    <row r="36" spans="2:52" ht="14.4" outlineLevel="1" x14ac:dyDescent="0.3">
      <c r="B36" s="425">
        <f t="shared" si="0"/>
        <v>29</v>
      </c>
      <c r="C36" s="513" t="s">
        <v>187</v>
      </c>
      <c r="D36" s="429" t="s">
        <v>1039</v>
      </c>
      <c r="E36" s="429" t="s">
        <v>791</v>
      </c>
      <c r="F36" s="429" t="s">
        <v>677</v>
      </c>
      <c r="G36" s="91">
        <v>257.76</v>
      </c>
      <c r="H36" s="486">
        <v>299</v>
      </c>
      <c r="I36" s="585" t="s">
        <v>792</v>
      </c>
      <c r="J36" s="426"/>
      <c r="K36" s="426"/>
      <c r="L36" s="426"/>
      <c r="M36" s="585" t="s">
        <v>792</v>
      </c>
      <c r="N36" s="426"/>
      <c r="O36" s="426"/>
      <c r="P36" s="426"/>
      <c r="Q36" s="426"/>
      <c r="R36" s="426"/>
      <c r="S36" s="426"/>
      <c r="T36" s="426"/>
      <c r="U36" s="426"/>
      <c r="V36" s="426"/>
      <c r="W36" s="426"/>
      <c r="X36" s="426"/>
      <c r="Y36" s="426"/>
      <c r="Z36" s="426"/>
      <c r="AA36" s="426"/>
      <c r="AB36" s="426"/>
      <c r="AC36" s="426"/>
      <c r="AD36" s="426"/>
      <c r="AE36" s="426"/>
      <c r="AF36" s="426"/>
      <c r="AG36" s="426"/>
      <c r="AH36" s="426"/>
      <c r="AI36" s="426"/>
      <c r="AJ36" s="426"/>
      <c r="AK36" s="426"/>
      <c r="AL36" s="426"/>
      <c r="AM36" s="426"/>
      <c r="AN36" s="426"/>
      <c r="AO36" s="426"/>
      <c r="AP36" s="426"/>
      <c r="AQ36" s="426"/>
      <c r="AR36" s="585" t="s">
        <v>792</v>
      </c>
      <c r="AS36" s="426"/>
      <c r="AT36" s="426"/>
      <c r="AU36" s="426"/>
      <c r="AV36" s="585" t="s">
        <v>792</v>
      </c>
      <c r="AW36" s="426"/>
      <c r="AX36" s="426"/>
      <c r="AY36" s="426"/>
      <c r="AZ36" s="428"/>
    </row>
    <row r="37" spans="2:52" ht="14.4" outlineLevel="1" x14ac:dyDescent="0.3">
      <c r="B37" s="425">
        <f t="shared" si="0"/>
        <v>30</v>
      </c>
      <c r="C37" s="95" t="s">
        <v>189</v>
      </c>
      <c r="D37" s="429" t="s">
        <v>1039</v>
      </c>
      <c r="E37" s="429" t="s">
        <v>791</v>
      </c>
      <c r="F37" s="429" t="s">
        <v>677</v>
      </c>
      <c r="G37" s="91">
        <v>300.86</v>
      </c>
      <c r="H37" s="486">
        <v>348.99759999999998</v>
      </c>
      <c r="I37" s="585" t="s">
        <v>792</v>
      </c>
      <c r="J37" s="426"/>
      <c r="K37" s="426"/>
      <c r="L37" s="426"/>
      <c r="M37" s="585" t="s">
        <v>792</v>
      </c>
      <c r="N37" s="426"/>
      <c r="O37" s="426"/>
      <c r="P37" s="426"/>
      <c r="Q37" s="426"/>
      <c r="R37" s="426"/>
      <c r="S37" s="426"/>
      <c r="T37" s="426"/>
      <c r="U37" s="426"/>
      <c r="V37" s="426"/>
      <c r="W37" s="426"/>
      <c r="X37" s="426"/>
      <c r="Y37" s="426"/>
      <c r="Z37" s="426"/>
      <c r="AA37" s="426"/>
      <c r="AB37" s="426"/>
      <c r="AC37" s="426"/>
      <c r="AD37" s="426"/>
      <c r="AE37" s="426"/>
      <c r="AF37" s="426"/>
      <c r="AG37" s="426"/>
      <c r="AH37" s="426"/>
      <c r="AI37" s="426"/>
      <c r="AJ37" s="426"/>
      <c r="AK37" s="426"/>
      <c r="AL37" s="426"/>
      <c r="AM37" s="426"/>
      <c r="AN37" s="426"/>
      <c r="AO37" s="426"/>
      <c r="AP37" s="426"/>
      <c r="AQ37" s="426"/>
      <c r="AR37" s="585" t="s">
        <v>792</v>
      </c>
      <c r="AS37" s="426"/>
      <c r="AT37" s="426"/>
      <c r="AU37" s="426"/>
      <c r="AV37" s="585" t="s">
        <v>792</v>
      </c>
      <c r="AW37" s="426"/>
      <c r="AX37" s="426"/>
      <c r="AY37" s="426"/>
      <c r="AZ37" s="428"/>
    </row>
    <row r="38" spans="2:52" ht="14.4" outlineLevel="1" x14ac:dyDescent="0.3">
      <c r="B38" s="425">
        <f t="shared" si="0"/>
        <v>31</v>
      </c>
      <c r="C38" s="95" t="s">
        <v>191</v>
      </c>
      <c r="D38" s="429" t="s">
        <v>1039</v>
      </c>
      <c r="E38" s="429" t="s">
        <v>791</v>
      </c>
      <c r="F38" s="429" t="s">
        <v>677</v>
      </c>
      <c r="G38" s="91">
        <v>343.97</v>
      </c>
      <c r="H38" s="486">
        <v>398.99520000000001</v>
      </c>
      <c r="I38" s="585" t="s">
        <v>792</v>
      </c>
      <c r="J38" s="426"/>
      <c r="K38" s="426"/>
      <c r="L38" s="426"/>
      <c r="M38" s="585" t="s">
        <v>792</v>
      </c>
      <c r="N38" s="426"/>
      <c r="O38" s="426"/>
      <c r="P38" s="426"/>
      <c r="Q38" s="426"/>
      <c r="R38" s="426"/>
      <c r="S38" s="426"/>
      <c r="T38" s="426"/>
      <c r="U38" s="426"/>
      <c r="V38" s="426"/>
      <c r="W38" s="426"/>
      <c r="X38" s="426"/>
      <c r="Y38" s="426"/>
      <c r="Z38" s="426"/>
      <c r="AA38" s="426"/>
      <c r="AB38" s="426"/>
      <c r="AC38" s="426"/>
      <c r="AD38" s="426"/>
      <c r="AE38" s="426"/>
      <c r="AF38" s="426"/>
      <c r="AG38" s="426"/>
      <c r="AH38" s="426"/>
      <c r="AI38" s="426"/>
      <c r="AJ38" s="426"/>
      <c r="AK38" s="426"/>
      <c r="AL38" s="426"/>
      <c r="AM38" s="426"/>
      <c r="AN38" s="426"/>
      <c r="AO38" s="426"/>
      <c r="AP38" s="426"/>
      <c r="AQ38" s="426"/>
      <c r="AR38" s="585" t="s">
        <v>792</v>
      </c>
      <c r="AS38" s="426"/>
      <c r="AT38" s="426"/>
      <c r="AU38" s="426"/>
      <c r="AV38" s="585" t="s">
        <v>792</v>
      </c>
      <c r="AW38" s="426"/>
      <c r="AX38" s="426"/>
      <c r="AY38" s="426"/>
      <c r="AZ38" s="428"/>
    </row>
    <row r="39" spans="2:52" ht="14.4" outlineLevel="1" x14ac:dyDescent="0.3">
      <c r="B39" s="425">
        <f t="shared" si="0"/>
        <v>32</v>
      </c>
      <c r="C39" s="95" t="s">
        <v>192</v>
      </c>
      <c r="D39" s="429" t="s">
        <v>1039</v>
      </c>
      <c r="E39" s="429" t="s">
        <v>791</v>
      </c>
      <c r="F39" s="429" t="s">
        <v>677</v>
      </c>
      <c r="G39" s="91">
        <v>387.07</v>
      </c>
      <c r="H39" s="486">
        <v>449</v>
      </c>
      <c r="I39" s="585" t="s">
        <v>792</v>
      </c>
      <c r="J39" s="426"/>
      <c r="K39" s="426"/>
      <c r="L39" s="426"/>
      <c r="M39" s="585" t="s">
        <v>792</v>
      </c>
      <c r="N39" s="426"/>
      <c r="O39" s="426"/>
      <c r="P39" s="426"/>
      <c r="Q39" s="426"/>
      <c r="R39" s="426"/>
      <c r="S39" s="426"/>
      <c r="T39" s="426"/>
      <c r="U39" s="426"/>
      <c r="V39" s="426"/>
      <c r="W39" s="426"/>
      <c r="X39" s="426"/>
      <c r="Y39" s="426"/>
      <c r="Z39" s="426"/>
      <c r="AA39" s="426"/>
      <c r="AB39" s="426"/>
      <c r="AC39" s="426"/>
      <c r="AD39" s="426"/>
      <c r="AE39" s="426"/>
      <c r="AF39" s="426"/>
      <c r="AG39" s="426"/>
      <c r="AH39" s="426"/>
      <c r="AI39" s="426"/>
      <c r="AJ39" s="426"/>
      <c r="AK39" s="426"/>
      <c r="AL39" s="426"/>
      <c r="AM39" s="426"/>
      <c r="AN39" s="426"/>
      <c r="AO39" s="426"/>
      <c r="AP39" s="426"/>
      <c r="AQ39" s="426"/>
      <c r="AR39" s="585" t="s">
        <v>792</v>
      </c>
      <c r="AS39" s="426"/>
      <c r="AT39" s="426"/>
      <c r="AU39" s="426"/>
      <c r="AV39" s="585" t="s">
        <v>792</v>
      </c>
      <c r="AW39" s="426"/>
      <c r="AX39" s="426"/>
      <c r="AY39" s="426"/>
      <c r="AZ39" s="428"/>
    </row>
    <row r="40" spans="2:52" ht="14.4" outlineLevel="1" x14ac:dyDescent="0.3">
      <c r="B40" s="498">
        <f t="shared" si="0"/>
        <v>33</v>
      </c>
      <c r="C40" s="95" t="s">
        <v>1040</v>
      </c>
      <c r="D40" s="429" t="s">
        <v>1039</v>
      </c>
      <c r="E40" s="429" t="s">
        <v>791</v>
      </c>
      <c r="F40" s="429" t="s">
        <v>677</v>
      </c>
      <c r="G40" s="91">
        <v>430.17</v>
      </c>
      <c r="H40" s="486">
        <v>499</v>
      </c>
      <c r="I40" s="585" t="s">
        <v>792</v>
      </c>
      <c r="J40" s="426"/>
      <c r="K40" s="426"/>
      <c r="L40" s="426"/>
      <c r="M40" s="585" t="s">
        <v>792</v>
      </c>
      <c r="N40" s="426"/>
      <c r="O40" s="426"/>
      <c r="P40" s="426"/>
      <c r="Q40" s="426"/>
      <c r="R40" s="426"/>
      <c r="S40" s="426"/>
      <c r="T40" s="426"/>
      <c r="U40" s="426"/>
      <c r="V40" s="426"/>
      <c r="W40" s="426"/>
      <c r="X40" s="426"/>
      <c r="Y40" s="426"/>
      <c r="Z40" s="426"/>
      <c r="AA40" s="426"/>
      <c r="AB40" s="426"/>
      <c r="AC40" s="426"/>
      <c r="AD40" s="426"/>
      <c r="AE40" s="426"/>
      <c r="AF40" s="426"/>
      <c r="AG40" s="426"/>
      <c r="AH40" s="426"/>
      <c r="AI40" s="426"/>
      <c r="AJ40" s="426"/>
      <c r="AK40" s="426"/>
      <c r="AL40" s="426"/>
      <c r="AM40" s="426"/>
      <c r="AN40" s="426"/>
      <c r="AO40" s="426"/>
      <c r="AP40" s="426"/>
      <c r="AQ40" s="426"/>
      <c r="AR40" s="585" t="s">
        <v>792</v>
      </c>
      <c r="AS40" s="426"/>
      <c r="AT40" s="426"/>
      <c r="AU40" s="426"/>
      <c r="AV40" s="585" t="s">
        <v>792</v>
      </c>
      <c r="AW40" s="426"/>
      <c r="AX40" s="426"/>
      <c r="AY40" s="426"/>
      <c r="AZ40" s="428"/>
    </row>
    <row r="41" spans="2:52" ht="14.4" outlineLevel="1" x14ac:dyDescent="0.3">
      <c r="B41" s="425">
        <f t="shared" si="0"/>
        <v>34</v>
      </c>
      <c r="C41" s="95" t="s">
        <v>193</v>
      </c>
      <c r="D41" s="429" t="s">
        <v>1039</v>
      </c>
      <c r="E41" s="429" t="s">
        <v>791</v>
      </c>
      <c r="F41" s="429" t="s">
        <v>677</v>
      </c>
      <c r="G41" s="91">
        <v>473.28</v>
      </c>
      <c r="H41" s="486">
        <v>549</v>
      </c>
      <c r="I41" s="585" t="s">
        <v>792</v>
      </c>
      <c r="J41" s="426"/>
      <c r="K41" s="426"/>
      <c r="L41" s="426"/>
      <c r="M41" s="585" t="s">
        <v>792</v>
      </c>
      <c r="N41" s="426"/>
      <c r="O41" s="426"/>
      <c r="P41" s="426"/>
      <c r="Q41" s="426"/>
      <c r="R41" s="426"/>
      <c r="S41" s="426"/>
      <c r="T41" s="426"/>
      <c r="U41" s="426"/>
      <c r="V41" s="426"/>
      <c r="W41" s="426"/>
      <c r="X41" s="426"/>
      <c r="Y41" s="426"/>
      <c r="Z41" s="426"/>
      <c r="AA41" s="426"/>
      <c r="AB41" s="426"/>
      <c r="AC41" s="426"/>
      <c r="AD41" s="426"/>
      <c r="AE41" s="426"/>
      <c r="AF41" s="426"/>
      <c r="AG41" s="426"/>
      <c r="AH41" s="426"/>
      <c r="AI41" s="426"/>
      <c r="AJ41" s="426"/>
      <c r="AK41" s="426"/>
      <c r="AL41" s="426"/>
      <c r="AM41" s="426"/>
      <c r="AN41" s="426"/>
      <c r="AO41" s="426"/>
      <c r="AP41" s="426"/>
      <c r="AQ41" s="426"/>
      <c r="AR41" s="585" t="s">
        <v>792</v>
      </c>
      <c r="AS41" s="426"/>
      <c r="AT41" s="426"/>
      <c r="AU41" s="426"/>
      <c r="AV41" s="585" t="s">
        <v>792</v>
      </c>
      <c r="AW41" s="426"/>
      <c r="AX41" s="426"/>
      <c r="AY41" s="426"/>
      <c r="AZ41" s="428"/>
    </row>
    <row r="42" spans="2:52" ht="14.4" outlineLevel="1" x14ac:dyDescent="0.3">
      <c r="B42" s="498">
        <f t="shared" si="0"/>
        <v>35</v>
      </c>
      <c r="C42" s="95" t="s">
        <v>1041</v>
      </c>
      <c r="D42" s="429" t="s">
        <v>1039</v>
      </c>
      <c r="E42" s="429" t="s">
        <v>791</v>
      </c>
      <c r="F42" s="429" t="s">
        <v>677</v>
      </c>
      <c r="G42" s="91">
        <v>559.48</v>
      </c>
      <c r="H42" s="486">
        <v>649</v>
      </c>
      <c r="I42" s="585" t="s">
        <v>792</v>
      </c>
      <c r="J42" s="426"/>
      <c r="K42" s="426"/>
      <c r="L42" s="426"/>
      <c r="M42" s="585" t="s">
        <v>792</v>
      </c>
      <c r="N42" s="426"/>
      <c r="O42" s="426"/>
      <c r="P42" s="426"/>
      <c r="Q42" s="426"/>
      <c r="R42" s="426"/>
      <c r="S42" s="426"/>
      <c r="T42" s="426"/>
      <c r="U42" s="426"/>
      <c r="V42" s="426"/>
      <c r="W42" s="426"/>
      <c r="X42" s="426"/>
      <c r="Y42" s="426"/>
      <c r="Z42" s="426"/>
      <c r="AA42" s="426"/>
      <c r="AB42" s="426"/>
      <c r="AC42" s="426"/>
      <c r="AD42" s="426"/>
      <c r="AE42" s="426"/>
      <c r="AF42" s="426"/>
      <c r="AG42" s="426"/>
      <c r="AH42" s="426"/>
      <c r="AI42" s="426"/>
      <c r="AJ42" s="426"/>
      <c r="AK42" s="426"/>
      <c r="AL42" s="426"/>
      <c r="AM42" s="426"/>
      <c r="AN42" s="426"/>
      <c r="AO42" s="426"/>
      <c r="AP42" s="426"/>
      <c r="AQ42" s="426"/>
      <c r="AR42" s="585" t="s">
        <v>792</v>
      </c>
      <c r="AS42" s="426"/>
      <c r="AT42" s="426"/>
      <c r="AU42" s="426"/>
      <c r="AV42" s="585" t="s">
        <v>792</v>
      </c>
      <c r="AW42" s="426"/>
      <c r="AX42" s="426"/>
      <c r="AY42" s="426"/>
      <c r="AZ42" s="428"/>
    </row>
    <row r="43" spans="2:52" ht="14.4" outlineLevel="1" x14ac:dyDescent="0.3">
      <c r="B43" s="425">
        <f t="shared" si="0"/>
        <v>36</v>
      </c>
      <c r="C43" s="95" t="s">
        <v>195</v>
      </c>
      <c r="D43" s="429" t="s">
        <v>1039</v>
      </c>
      <c r="E43" s="429" t="s">
        <v>791</v>
      </c>
      <c r="F43" s="429" t="s">
        <v>677</v>
      </c>
      <c r="G43" s="91">
        <v>775</v>
      </c>
      <c r="H43" s="486">
        <v>898.99999999999989</v>
      </c>
      <c r="I43" s="585" t="s">
        <v>792</v>
      </c>
      <c r="J43" s="426"/>
      <c r="K43" s="426"/>
      <c r="L43" s="426"/>
      <c r="M43" s="585" t="s">
        <v>792</v>
      </c>
      <c r="N43" s="426"/>
      <c r="O43" s="426"/>
      <c r="P43" s="426"/>
      <c r="Q43" s="426"/>
      <c r="R43" s="426"/>
      <c r="S43" s="426"/>
      <c r="T43" s="426"/>
      <c r="U43" s="426"/>
      <c r="V43" s="426"/>
      <c r="W43" s="426"/>
      <c r="X43" s="426"/>
      <c r="Y43" s="426"/>
      <c r="Z43" s="426"/>
      <c r="AA43" s="426"/>
      <c r="AB43" s="426"/>
      <c r="AC43" s="426"/>
      <c r="AD43" s="426"/>
      <c r="AE43" s="426"/>
      <c r="AF43" s="426"/>
      <c r="AG43" s="426"/>
      <c r="AH43" s="426"/>
      <c r="AI43" s="426"/>
      <c r="AJ43" s="426"/>
      <c r="AK43" s="426"/>
      <c r="AL43" s="426"/>
      <c r="AM43" s="426"/>
      <c r="AN43" s="426"/>
      <c r="AO43" s="426"/>
      <c r="AP43" s="426"/>
      <c r="AQ43" s="426"/>
      <c r="AR43" s="585" t="s">
        <v>792</v>
      </c>
      <c r="AS43" s="426"/>
      <c r="AT43" s="426"/>
      <c r="AU43" s="426"/>
      <c r="AV43" s="585" t="s">
        <v>792</v>
      </c>
      <c r="AW43" s="426"/>
      <c r="AX43" s="426"/>
      <c r="AY43" s="426"/>
      <c r="AZ43" s="428"/>
    </row>
    <row r="44" spans="2:52" ht="14.4" outlineLevel="1" x14ac:dyDescent="0.3">
      <c r="B44" s="425">
        <f t="shared" si="0"/>
        <v>37</v>
      </c>
      <c r="C44" s="95" t="s">
        <v>197</v>
      </c>
      <c r="D44" s="429" t="s">
        <v>351</v>
      </c>
      <c r="E44" s="429" t="s">
        <v>791</v>
      </c>
      <c r="F44" s="429" t="s">
        <v>677</v>
      </c>
      <c r="G44" s="91">
        <v>349</v>
      </c>
      <c r="H44" s="486">
        <v>404.84</v>
      </c>
      <c r="I44" s="585" t="s">
        <v>792</v>
      </c>
      <c r="J44" s="426"/>
      <c r="K44" s="426"/>
      <c r="L44" s="426"/>
      <c r="M44" s="585" t="s">
        <v>792</v>
      </c>
      <c r="N44" s="426"/>
      <c r="O44" s="426"/>
      <c r="P44" s="426"/>
      <c r="Q44" s="426"/>
      <c r="R44" s="426"/>
      <c r="S44" s="426"/>
      <c r="T44" s="426"/>
      <c r="U44" s="426"/>
      <c r="V44" s="426"/>
      <c r="W44" s="426"/>
      <c r="X44" s="426"/>
      <c r="Y44" s="426"/>
      <c r="Z44" s="426"/>
      <c r="AA44" s="426"/>
      <c r="AB44" s="426"/>
      <c r="AC44" s="426"/>
      <c r="AD44" s="426"/>
      <c r="AE44" s="426"/>
      <c r="AF44" s="426"/>
      <c r="AG44" s="426"/>
      <c r="AH44" s="426"/>
      <c r="AI44" s="426"/>
      <c r="AJ44" s="426"/>
      <c r="AK44" s="426"/>
      <c r="AL44" s="426"/>
      <c r="AM44" s="426"/>
      <c r="AN44" s="426"/>
      <c r="AO44" s="426"/>
      <c r="AP44" s="426"/>
      <c r="AQ44" s="426"/>
      <c r="AR44" s="585" t="s">
        <v>792</v>
      </c>
      <c r="AS44" s="426"/>
      <c r="AT44" s="426"/>
      <c r="AU44" s="426"/>
      <c r="AV44" s="585" t="s">
        <v>792</v>
      </c>
      <c r="AW44" s="426"/>
      <c r="AX44" s="426"/>
      <c r="AY44" s="426"/>
      <c r="AZ44" s="428"/>
    </row>
    <row r="45" spans="2:52" ht="14.4" outlineLevel="1" x14ac:dyDescent="0.3">
      <c r="B45" s="425">
        <f t="shared" si="0"/>
        <v>38</v>
      </c>
      <c r="C45" s="95" t="s">
        <v>199</v>
      </c>
      <c r="D45" s="429" t="s">
        <v>351</v>
      </c>
      <c r="E45" s="429" t="s">
        <v>791</v>
      </c>
      <c r="F45" s="429" t="s">
        <v>677</v>
      </c>
      <c r="G45" s="91">
        <v>608.69000000000005</v>
      </c>
      <c r="H45" s="486">
        <v>706.08</v>
      </c>
      <c r="I45" s="585" t="s">
        <v>792</v>
      </c>
      <c r="J45" s="426"/>
      <c r="K45" s="426"/>
      <c r="L45" s="426"/>
      <c r="M45" s="585" t="s">
        <v>792</v>
      </c>
      <c r="N45" s="426"/>
      <c r="O45" s="426"/>
      <c r="P45" s="426"/>
      <c r="Q45" s="426"/>
      <c r="R45" s="426"/>
      <c r="S45" s="426"/>
      <c r="T45" s="426"/>
      <c r="U45" s="426"/>
      <c r="V45" s="426"/>
      <c r="W45" s="426"/>
      <c r="X45" s="426"/>
      <c r="Y45" s="426"/>
      <c r="Z45" s="426"/>
      <c r="AA45" s="426"/>
      <c r="AB45" s="426"/>
      <c r="AC45" s="426"/>
      <c r="AD45" s="426"/>
      <c r="AE45" s="426"/>
      <c r="AF45" s="426"/>
      <c r="AG45" s="426"/>
      <c r="AH45" s="426"/>
      <c r="AI45" s="426"/>
      <c r="AJ45" s="426"/>
      <c r="AK45" s="426"/>
      <c r="AL45" s="426"/>
      <c r="AM45" s="426"/>
      <c r="AN45" s="426"/>
      <c r="AO45" s="426"/>
      <c r="AP45" s="426"/>
      <c r="AQ45" s="426"/>
      <c r="AR45" s="585" t="s">
        <v>792</v>
      </c>
      <c r="AS45" s="426"/>
      <c r="AT45" s="426"/>
      <c r="AU45" s="426"/>
      <c r="AV45" s="585" t="s">
        <v>792</v>
      </c>
      <c r="AW45" s="426"/>
      <c r="AX45" s="426"/>
      <c r="AY45" s="426"/>
      <c r="AZ45" s="428"/>
    </row>
    <row r="46" spans="2:52" ht="14.4" outlineLevel="1" x14ac:dyDescent="0.3">
      <c r="B46" s="425">
        <f t="shared" si="0"/>
        <v>39</v>
      </c>
      <c r="C46" s="95" t="s">
        <v>201</v>
      </c>
      <c r="D46" s="429" t="s">
        <v>351</v>
      </c>
      <c r="E46" s="429" t="s">
        <v>791</v>
      </c>
      <c r="F46" s="429" t="s">
        <v>677</v>
      </c>
      <c r="G46" s="91">
        <v>1042.5999999999999</v>
      </c>
      <c r="H46" s="486">
        <v>1209.42</v>
      </c>
      <c r="I46" s="585" t="s">
        <v>792</v>
      </c>
      <c r="J46" s="426"/>
      <c r="K46" s="426"/>
      <c r="L46" s="426"/>
      <c r="M46" s="585" t="s">
        <v>792</v>
      </c>
      <c r="N46" s="426"/>
      <c r="O46" s="426"/>
      <c r="P46" s="426"/>
      <c r="Q46" s="426"/>
      <c r="R46" s="426"/>
      <c r="S46" s="426"/>
      <c r="T46" s="426"/>
      <c r="U46" s="426"/>
      <c r="V46" s="426"/>
      <c r="W46" s="426"/>
      <c r="X46" s="426"/>
      <c r="Y46" s="426"/>
      <c r="Z46" s="426"/>
      <c r="AA46" s="426"/>
      <c r="AB46" s="426"/>
      <c r="AC46" s="426"/>
      <c r="AD46" s="426"/>
      <c r="AE46" s="426"/>
      <c r="AF46" s="426"/>
      <c r="AG46" s="426"/>
      <c r="AH46" s="426"/>
      <c r="AI46" s="426"/>
      <c r="AJ46" s="426"/>
      <c r="AK46" s="426"/>
      <c r="AL46" s="426"/>
      <c r="AM46" s="426"/>
      <c r="AN46" s="426"/>
      <c r="AO46" s="426"/>
      <c r="AP46" s="426"/>
      <c r="AQ46" s="426"/>
      <c r="AR46" s="585" t="s">
        <v>792</v>
      </c>
      <c r="AS46" s="426"/>
      <c r="AT46" s="426"/>
      <c r="AU46" s="426"/>
      <c r="AV46" s="585" t="s">
        <v>792</v>
      </c>
      <c r="AW46" s="426"/>
      <c r="AX46" s="426"/>
      <c r="AY46" s="426"/>
      <c r="AZ46" s="428"/>
    </row>
    <row r="47" spans="2:52" ht="14.4" outlineLevel="1" x14ac:dyDescent="0.3">
      <c r="B47" s="425">
        <f t="shared" si="0"/>
        <v>40</v>
      </c>
      <c r="C47" s="95" t="s">
        <v>494</v>
      </c>
      <c r="D47" s="429" t="s">
        <v>351</v>
      </c>
      <c r="E47" s="429" t="s">
        <v>794</v>
      </c>
      <c r="F47" s="429" t="s">
        <v>677</v>
      </c>
      <c r="G47" s="91">
        <v>509.31</v>
      </c>
      <c r="H47" s="486">
        <v>599</v>
      </c>
      <c r="I47" s="585" t="s">
        <v>792</v>
      </c>
      <c r="J47" s="426"/>
      <c r="K47" s="426"/>
      <c r="L47" s="426"/>
      <c r="M47" s="585" t="s">
        <v>792</v>
      </c>
      <c r="N47" s="426"/>
      <c r="O47" s="426"/>
      <c r="P47" s="426"/>
      <c r="Q47" s="426"/>
      <c r="R47" s="426"/>
      <c r="S47" s="426"/>
      <c r="T47" s="426"/>
      <c r="U47" s="426"/>
      <c r="V47" s="426"/>
      <c r="W47" s="426"/>
      <c r="X47" s="426"/>
      <c r="Y47" s="426"/>
      <c r="Z47" s="426"/>
      <c r="AA47" s="426"/>
      <c r="AB47" s="426"/>
      <c r="AC47" s="426"/>
      <c r="AD47" s="426"/>
      <c r="AE47" s="426"/>
      <c r="AF47" s="426"/>
      <c r="AG47" s="426"/>
      <c r="AH47" s="426"/>
      <c r="AI47" s="426"/>
      <c r="AJ47" s="426"/>
      <c r="AK47" s="426"/>
      <c r="AL47" s="426"/>
      <c r="AM47" s="426"/>
      <c r="AN47" s="426"/>
      <c r="AO47" s="426"/>
      <c r="AP47" s="426"/>
      <c r="AQ47" s="426"/>
      <c r="AR47" s="585" t="s">
        <v>792</v>
      </c>
      <c r="AS47" s="426"/>
      <c r="AT47" s="426"/>
      <c r="AU47" s="426"/>
      <c r="AV47" s="585" t="s">
        <v>792</v>
      </c>
      <c r="AW47" s="426"/>
      <c r="AX47" s="426"/>
      <c r="AY47" s="426"/>
      <c r="AZ47" s="428"/>
    </row>
    <row r="48" spans="2:52" ht="14.4" outlineLevel="1" x14ac:dyDescent="0.3">
      <c r="B48" s="425">
        <f t="shared" si="0"/>
        <v>41</v>
      </c>
      <c r="C48" s="95" t="s">
        <v>496</v>
      </c>
      <c r="D48" s="429" t="s">
        <v>351</v>
      </c>
      <c r="E48" s="429" t="s">
        <v>794</v>
      </c>
      <c r="F48" s="429" t="s">
        <v>677</v>
      </c>
      <c r="G48" s="91">
        <v>679.07</v>
      </c>
      <c r="H48" s="486">
        <v>799</v>
      </c>
      <c r="I48" s="585" t="s">
        <v>792</v>
      </c>
      <c r="J48" s="426"/>
      <c r="K48" s="426"/>
      <c r="L48" s="426"/>
      <c r="M48" s="585" t="s">
        <v>792</v>
      </c>
      <c r="N48" s="426"/>
      <c r="O48" s="426"/>
      <c r="P48" s="426"/>
      <c r="Q48" s="426"/>
      <c r="R48" s="426"/>
      <c r="S48" s="426"/>
      <c r="T48" s="426"/>
      <c r="U48" s="426"/>
      <c r="V48" s="426"/>
      <c r="W48" s="426"/>
      <c r="X48" s="426"/>
      <c r="Y48" s="426"/>
      <c r="Z48" s="426"/>
      <c r="AA48" s="426"/>
      <c r="AB48" s="426"/>
      <c r="AC48" s="426"/>
      <c r="AD48" s="426"/>
      <c r="AE48" s="426"/>
      <c r="AF48" s="426"/>
      <c r="AG48" s="426"/>
      <c r="AH48" s="426"/>
      <c r="AI48" s="426"/>
      <c r="AJ48" s="426"/>
      <c r="AK48" s="426"/>
      <c r="AL48" s="426"/>
      <c r="AM48" s="426"/>
      <c r="AN48" s="426"/>
      <c r="AO48" s="426"/>
      <c r="AP48" s="426"/>
      <c r="AQ48" s="426"/>
      <c r="AR48" s="585" t="s">
        <v>792</v>
      </c>
      <c r="AS48" s="426"/>
      <c r="AT48" s="426"/>
      <c r="AU48" s="426"/>
      <c r="AV48" s="585" t="s">
        <v>792</v>
      </c>
      <c r="AW48" s="426"/>
      <c r="AX48" s="426"/>
      <c r="AY48" s="426"/>
      <c r="AZ48" s="428"/>
    </row>
    <row r="49" spans="2:52" ht="14.4" outlineLevel="1" x14ac:dyDescent="0.3">
      <c r="B49" s="425">
        <f t="shared" si="0"/>
        <v>42</v>
      </c>
      <c r="C49" s="95" t="s">
        <v>498</v>
      </c>
      <c r="D49" s="429" t="s">
        <v>351</v>
      </c>
      <c r="E49" s="429" t="s">
        <v>794</v>
      </c>
      <c r="F49" s="429" t="s">
        <v>677</v>
      </c>
      <c r="G49" s="91">
        <v>933.26</v>
      </c>
      <c r="H49" s="486">
        <v>1098.9992</v>
      </c>
      <c r="I49" s="585" t="s">
        <v>792</v>
      </c>
      <c r="J49" s="426"/>
      <c r="K49" s="426"/>
      <c r="L49" s="426"/>
      <c r="M49" s="585" t="s">
        <v>792</v>
      </c>
      <c r="N49" s="426"/>
      <c r="O49" s="426"/>
      <c r="P49" s="426"/>
      <c r="Q49" s="426"/>
      <c r="R49" s="426"/>
      <c r="S49" s="426"/>
      <c r="T49" s="426"/>
      <c r="U49" s="426"/>
      <c r="V49" s="426"/>
      <c r="W49" s="426"/>
      <c r="X49" s="426"/>
      <c r="Y49" s="426"/>
      <c r="Z49" s="426"/>
      <c r="AA49" s="426"/>
      <c r="AB49" s="426"/>
      <c r="AC49" s="426"/>
      <c r="AD49" s="426"/>
      <c r="AE49" s="426"/>
      <c r="AF49" s="426"/>
      <c r="AG49" s="426"/>
      <c r="AH49" s="426"/>
      <c r="AI49" s="426"/>
      <c r="AJ49" s="426"/>
      <c r="AK49" s="426"/>
      <c r="AL49" s="426"/>
      <c r="AM49" s="426"/>
      <c r="AN49" s="426"/>
      <c r="AO49" s="426"/>
      <c r="AP49" s="426"/>
      <c r="AQ49" s="426"/>
      <c r="AR49" s="585" t="s">
        <v>792</v>
      </c>
      <c r="AS49" s="426"/>
      <c r="AT49" s="426"/>
      <c r="AU49" s="426"/>
      <c r="AV49" s="585" t="s">
        <v>792</v>
      </c>
      <c r="AW49" s="426"/>
      <c r="AX49" s="426"/>
      <c r="AY49" s="426"/>
      <c r="AZ49" s="428"/>
    </row>
    <row r="50" spans="2:52" ht="14.4" outlineLevel="1" x14ac:dyDescent="0.3">
      <c r="B50" s="425">
        <f t="shared" si="0"/>
        <v>43</v>
      </c>
      <c r="C50" s="95" t="s">
        <v>500</v>
      </c>
      <c r="D50" s="429" t="s">
        <v>351</v>
      </c>
      <c r="E50" s="429" t="s">
        <v>794</v>
      </c>
      <c r="F50" s="429" t="s">
        <v>677</v>
      </c>
      <c r="G50" s="91">
        <v>1610.49</v>
      </c>
      <c r="H50" s="486">
        <v>1899.0028</v>
      </c>
      <c r="I50" s="585" t="s">
        <v>792</v>
      </c>
      <c r="J50" s="426"/>
      <c r="K50" s="426"/>
      <c r="L50" s="426"/>
      <c r="M50" s="585" t="s">
        <v>792</v>
      </c>
      <c r="N50" s="426"/>
      <c r="O50" s="426"/>
      <c r="P50" s="426"/>
      <c r="Q50" s="426"/>
      <c r="R50" s="426"/>
      <c r="S50" s="426"/>
      <c r="T50" s="426"/>
      <c r="U50" s="426"/>
      <c r="V50" s="426"/>
      <c r="W50" s="426"/>
      <c r="X50" s="426"/>
      <c r="Y50" s="426"/>
      <c r="Z50" s="426"/>
      <c r="AA50" s="426"/>
      <c r="AB50" s="426"/>
      <c r="AC50" s="426"/>
      <c r="AD50" s="426"/>
      <c r="AE50" s="426"/>
      <c r="AF50" s="426"/>
      <c r="AG50" s="426"/>
      <c r="AH50" s="426"/>
      <c r="AI50" s="426"/>
      <c r="AJ50" s="426"/>
      <c r="AK50" s="426"/>
      <c r="AL50" s="426"/>
      <c r="AM50" s="426"/>
      <c r="AN50" s="426"/>
      <c r="AO50" s="426"/>
      <c r="AP50" s="426"/>
      <c r="AQ50" s="426"/>
      <c r="AR50" s="585" t="s">
        <v>792</v>
      </c>
      <c r="AS50" s="426"/>
      <c r="AT50" s="426"/>
      <c r="AU50" s="426"/>
      <c r="AV50" s="585" t="s">
        <v>792</v>
      </c>
      <c r="AW50" s="426"/>
      <c r="AX50" s="426"/>
      <c r="AY50" s="426"/>
      <c r="AZ50" s="428"/>
    </row>
    <row r="51" spans="2:52" ht="14.4" outlineLevel="1" x14ac:dyDescent="0.3">
      <c r="B51" s="425">
        <f t="shared" si="0"/>
        <v>44</v>
      </c>
      <c r="C51" s="95" t="s">
        <v>502</v>
      </c>
      <c r="D51" s="429" t="s">
        <v>351</v>
      </c>
      <c r="E51" s="429" t="s">
        <v>794</v>
      </c>
      <c r="F51" s="429" t="s">
        <v>677</v>
      </c>
      <c r="G51" s="91">
        <v>1898.45</v>
      </c>
      <c r="H51" s="486">
        <v>2238.9987999999998</v>
      </c>
      <c r="I51" s="585" t="s">
        <v>792</v>
      </c>
      <c r="J51" s="426"/>
      <c r="K51" s="426"/>
      <c r="L51" s="426"/>
      <c r="M51" s="585" t="s">
        <v>792</v>
      </c>
      <c r="N51" s="426"/>
      <c r="O51" s="426"/>
      <c r="P51" s="426"/>
      <c r="Q51" s="426"/>
      <c r="R51" s="426"/>
      <c r="S51" s="426"/>
      <c r="T51" s="426"/>
      <c r="U51" s="426"/>
      <c r="V51" s="426"/>
      <c r="W51" s="426"/>
      <c r="X51" s="426"/>
      <c r="Y51" s="426"/>
      <c r="Z51" s="426"/>
      <c r="AA51" s="426"/>
      <c r="AB51" s="426"/>
      <c r="AC51" s="426"/>
      <c r="AD51" s="426"/>
      <c r="AE51" s="426"/>
      <c r="AF51" s="426"/>
      <c r="AG51" s="426"/>
      <c r="AH51" s="426"/>
      <c r="AI51" s="426"/>
      <c r="AJ51" s="426"/>
      <c r="AK51" s="426"/>
      <c r="AL51" s="426"/>
      <c r="AM51" s="426"/>
      <c r="AN51" s="426"/>
      <c r="AO51" s="426"/>
      <c r="AP51" s="426"/>
      <c r="AQ51" s="426"/>
      <c r="AR51" s="585" t="s">
        <v>792</v>
      </c>
      <c r="AS51" s="426"/>
      <c r="AT51" s="426"/>
      <c r="AU51" s="426"/>
      <c r="AV51" s="585" t="s">
        <v>792</v>
      </c>
      <c r="AW51" s="426"/>
      <c r="AX51" s="426"/>
      <c r="AY51" s="426"/>
      <c r="AZ51" s="428"/>
    </row>
    <row r="52" spans="2:52" ht="14.4" outlineLevel="1" x14ac:dyDescent="0.3">
      <c r="B52" s="425">
        <f t="shared" si="0"/>
        <v>45</v>
      </c>
      <c r="C52" s="95" t="s">
        <v>504</v>
      </c>
      <c r="D52" s="429" t="s">
        <v>351</v>
      </c>
      <c r="E52" s="429" t="s">
        <v>794</v>
      </c>
      <c r="F52" s="429" t="s">
        <v>677</v>
      </c>
      <c r="G52" s="91">
        <v>2363.7200000000003</v>
      </c>
      <c r="H52" s="486">
        <v>2789.0047999999997</v>
      </c>
      <c r="I52" s="585" t="s">
        <v>792</v>
      </c>
      <c r="J52" s="426"/>
      <c r="K52" s="426"/>
      <c r="L52" s="426"/>
      <c r="M52" s="585" t="s">
        <v>792</v>
      </c>
      <c r="N52" s="426"/>
      <c r="O52" s="426"/>
      <c r="P52" s="426"/>
      <c r="Q52" s="426"/>
      <c r="R52" s="426"/>
      <c r="S52" s="426"/>
      <c r="T52" s="426"/>
      <c r="U52" s="426"/>
      <c r="V52" s="426"/>
      <c r="W52" s="426"/>
      <c r="X52" s="426"/>
      <c r="Y52" s="426"/>
      <c r="Z52" s="426"/>
      <c r="AA52" s="426"/>
      <c r="AB52" s="426"/>
      <c r="AC52" s="426"/>
      <c r="AD52" s="426"/>
      <c r="AE52" s="426"/>
      <c r="AF52" s="426"/>
      <c r="AG52" s="426"/>
      <c r="AH52" s="426"/>
      <c r="AI52" s="426"/>
      <c r="AJ52" s="426"/>
      <c r="AK52" s="426"/>
      <c r="AL52" s="426"/>
      <c r="AM52" s="426"/>
      <c r="AN52" s="426"/>
      <c r="AO52" s="426"/>
      <c r="AP52" s="426"/>
      <c r="AQ52" s="426"/>
      <c r="AR52" s="585" t="s">
        <v>792</v>
      </c>
      <c r="AS52" s="426"/>
      <c r="AT52" s="426"/>
      <c r="AU52" s="426"/>
      <c r="AV52" s="585" t="s">
        <v>792</v>
      </c>
      <c r="AW52" s="426"/>
      <c r="AX52" s="426"/>
      <c r="AY52" s="426"/>
      <c r="AZ52" s="428"/>
    </row>
    <row r="53" spans="2:52" ht="14.4" hidden="1" outlineLevel="1" x14ac:dyDescent="0.3">
      <c r="B53" s="425">
        <f t="shared" si="0"/>
        <v>46</v>
      </c>
      <c r="C53" s="95" t="s">
        <v>456</v>
      </c>
      <c r="D53" s="429" t="s">
        <v>796</v>
      </c>
      <c r="E53" s="429" t="s">
        <v>797</v>
      </c>
      <c r="F53" s="429" t="s">
        <v>1042</v>
      </c>
      <c r="G53" s="91"/>
      <c r="H53" s="91"/>
      <c r="I53" s="91" t="s">
        <v>792</v>
      </c>
      <c r="J53" s="426"/>
      <c r="K53" s="426"/>
      <c r="L53" s="426"/>
      <c r="M53" s="91" t="s">
        <v>792</v>
      </c>
      <c r="N53" s="426"/>
      <c r="O53" s="426"/>
      <c r="P53" s="426"/>
      <c r="Q53" s="426"/>
      <c r="R53" s="426"/>
      <c r="S53" s="426"/>
      <c r="T53" s="426"/>
      <c r="U53" s="426"/>
      <c r="V53" s="426"/>
      <c r="W53" s="426"/>
      <c r="X53" s="426"/>
      <c r="Y53" s="426"/>
      <c r="Z53" s="426"/>
      <c r="AA53" s="426"/>
      <c r="AB53" s="426"/>
      <c r="AC53" s="426"/>
      <c r="AD53" s="426"/>
      <c r="AE53" s="426"/>
      <c r="AF53" s="426"/>
      <c r="AG53" s="426"/>
      <c r="AH53" s="426"/>
      <c r="AI53" s="426"/>
      <c r="AJ53" s="426"/>
      <c r="AK53" s="426"/>
      <c r="AL53" s="426"/>
      <c r="AM53" s="426"/>
      <c r="AN53" s="426"/>
      <c r="AO53" s="426"/>
      <c r="AP53" s="426"/>
      <c r="AQ53" s="426"/>
      <c r="AR53" s="91" t="s">
        <v>792</v>
      </c>
      <c r="AS53" s="426"/>
      <c r="AT53" s="426"/>
      <c r="AU53" s="426"/>
      <c r="AV53" s="91" t="s">
        <v>792</v>
      </c>
      <c r="AW53" s="426"/>
      <c r="AX53" s="426"/>
      <c r="AY53" s="426"/>
      <c r="AZ53" s="428"/>
    </row>
    <row r="54" spans="2:52" ht="14.4" hidden="1" outlineLevel="1" x14ac:dyDescent="0.3">
      <c r="B54" s="425">
        <f t="shared" si="0"/>
        <v>47</v>
      </c>
      <c r="C54" s="95" t="s">
        <v>456</v>
      </c>
      <c r="D54" s="429" t="s">
        <v>796</v>
      </c>
      <c r="E54" s="429" t="s">
        <v>797</v>
      </c>
      <c r="F54" s="429" t="s">
        <v>1042</v>
      </c>
      <c r="G54" s="91"/>
      <c r="H54" s="91"/>
      <c r="I54" s="91" t="s">
        <v>792</v>
      </c>
      <c r="J54" s="426"/>
      <c r="K54" s="426"/>
      <c r="L54" s="426"/>
      <c r="M54" s="91" t="s">
        <v>792</v>
      </c>
      <c r="N54" s="426"/>
      <c r="O54" s="426"/>
      <c r="P54" s="426"/>
      <c r="Q54" s="426"/>
      <c r="R54" s="426"/>
      <c r="S54" s="426"/>
      <c r="T54" s="426"/>
      <c r="U54" s="426"/>
      <c r="V54" s="426"/>
      <c r="W54" s="426"/>
      <c r="X54" s="426"/>
      <c r="Y54" s="426"/>
      <c r="Z54" s="426"/>
      <c r="AA54" s="426"/>
      <c r="AB54" s="426"/>
      <c r="AC54" s="426"/>
      <c r="AD54" s="426"/>
      <c r="AE54" s="426"/>
      <c r="AF54" s="426"/>
      <c r="AG54" s="426"/>
      <c r="AH54" s="426"/>
      <c r="AI54" s="426"/>
      <c r="AJ54" s="426"/>
      <c r="AK54" s="426"/>
      <c r="AL54" s="426"/>
      <c r="AM54" s="426"/>
      <c r="AN54" s="426"/>
      <c r="AO54" s="426"/>
      <c r="AP54" s="426"/>
      <c r="AQ54" s="426"/>
      <c r="AR54" s="91" t="s">
        <v>792</v>
      </c>
      <c r="AS54" s="426"/>
      <c r="AT54" s="426"/>
      <c r="AU54" s="426"/>
      <c r="AV54" s="91" t="s">
        <v>792</v>
      </c>
      <c r="AW54" s="426"/>
      <c r="AX54" s="426"/>
      <c r="AY54" s="426"/>
      <c r="AZ54" s="428"/>
    </row>
    <row r="55" spans="2:52" ht="14.4" hidden="1" outlineLevel="1" x14ac:dyDescent="0.3">
      <c r="B55" s="425">
        <f t="shared" si="0"/>
        <v>48</v>
      </c>
      <c r="C55" s="95" t="s">
        <v>456</v>
      </c>
      <c r="D55" s="429" t="s">
        <v>796</v>
      </c>
      <c r="E55" s="429" t="s">
        <v>797</v>
      </c>
      <c r="F55" s="429" t="s">
        <v>1042</v>
      </c>
      <c r="G55" s="91"/>
      <c r="H55" s="91"/>
      <c r="I55" s="91" t="s">
        <v>792</v>
      </c>
      <c r="J55" s="426"/>
      <c r="K55" s="426"/>
      <c r="L55" s="426"/>
      <c r="M55" s="91" t="s">
        <v>792</v>
      </c>
      <c r="N55" s="426"/>
      <c r="O55" s="426"/>
      <c r="P55" s="426"/>
      <c r="Q55" s="426"/>
      <c r="R55" s="426"/>
      <c r="S55" s="426"/>
      <c r="T55" s="426"/>
      <c r="U55" s="426"/>
      <c r="V55" s="426"/>
      <c r="W55" s="426"/>
      <c r="X55" s="426"/>
      <c r="Y55" s="426"/>
      <c r="Z55" s="426"/>
      <c r="AA55" s="426"/>
      <c r="AB55" s="426"/>
      <c r="AC55" s="426"/>
      <c r="AD55" s="426"/>
      <c r="AE55" s="426"/>
      <c r="AF55" s="426"/>
      <c r="AG55" s="426"/>
      <c r="AH55" s="426"/>
      <c r="AI55" s="426"/>
      <c r="AJ55" s="426"/>
      <c r="AK55" s="426"/>
      <c r="AL55" s="426"/>
      <c r="AM55" s="426"/>
      <c r="AN55" s="426"/>
      <c r="AO55" s="426"/>
      <c r="AP55" s="426"/>
      <c r="AQ55" s="426"/>
      <c r="AR55" s="91" t="s">
        <v>792</v>
      </c>
      <c r="AS55" s="426"/>
      <c r="AT55" s="426"/>
      <c r="AU55" s="426"/>
      <c r="AV55" s="91" t="s">
        <v>792</v>
      </c>
      <c r="AW55" s="426"/>
      <c r="AX55" s="426"/>
      <c r="AY55" s="426"/>
      <c r="AZ55" s="428"/>
    </row>
    <row r="56" spans="2:52" ht="14.4" hidden="1" outlineLevel="1" x14ac:dyDescent="0.3">
      <c r="B56" s="425">
        <f t="shared" si="0"/>
        <v>49</v>
      </c>
      <c r="C56" s="95" t="s">
        <v>456</v>
      </c>
      <c r="D56" s="429" t="s">
        <v>796</v>
      </c>
      <c r="E56" s="429" t="s">
        <v>797</v>
      </c>
      <c r="F56" s="429" t="s">
        <v>1042</v>
      </c>
      <c r="G56" s="91"/>
      <c r="H56" s="91"/>
      <c r="I56" s="91" t="s">
        <v>792</v>
      </c>
      <c r="J56" s="426"/>
      <c r="K56" s="426"/>
      <c r="L56" s="426"/>
      <c r="M56" s="91" t="s">
        <v>792</v>
      </c>
      <c r="N56" s="426"/>
      <c r="O56" s="426"/>
      <c r="P56" s="426"/>
      <c r="Q56" s="426"/>
      <c r="R56" s="426"/>
      <c r="S56" s="426"/>
      <c r="T56" s="426"/>
      <c r="U56" s="426"/>
      <c r="V56" s="426"/>
      <c r="W56" s="426"/>
      <c r="X56" s="426"/>
      <c r="Y56" s="426"/>
      <c r="Z56" s="426"/>
      <c r="AA56" s="426"/>
      <c r="AB56" s="426"/>
      <c r="AC56" s="426"/>
      <c r="AD56" s="426"/>
      <c r="AE56" s="426"/>
      <c r="AF56" s="426"/>
      <c r="AG56" s="426"/>
      <c r="AH56" s="426"/>
      <c r="AI56" s="426"/>
      <c r="AJ56" s="426"/>
      <c r="AK56" s="426"/>
      <c r="AL56" s="426"/>
      <c r="AM56" s="426"/>
      <c r="AN56" s="426"/>
      <c r="AO56" s="426"/>
      <c r="AP56" s="426"/>
      <c r="AQ56" s="426"/>
      <c r="AR56" s="91" t="s">
        <v>792</v>
      </c>
      <c r="AS56" s="426"/>
      <c r="AT56" s="426"/>
      <c r="AU56" s="426"/>
      <c r="AV56" s="91" t="s">
        <v>792</v>
      </c>
      <c r="AW56" s="426"/>
      <c r="AX56" s="426"/>
      <c r="AY56" s="426"/>
      <c r="AZ56" s="428"/>
    </row>
    <row r="57" spans="2:52" ht="14.4" hidden="1" outlineLevel="1" x14ac:dyDescent="0.3">
      <c r="B57" s="425">
        <f t="shared" si="0"/>
        <v>50</v>
      </c>
      <c r="C57" s="95" t="s">
        <v>456</v>
      </c>
      <c r="D57" s="429" t="s">
        <v>796</v>
      </c>
      <c r="E57" s="429" t="s">
        <v>797</v>
      </c>
      <c r="F57" s="429" t="s">
        <v>1042</v>
      </c>
      <c r="G57" s="91"/>
      <c r="H57" s="91"/>
      <c r="I57" s="91" t="s">
        <v>792</v>
      </c>
      <c r="J57" s="426"/>
      <c r="K57" s="426"/>
      <c r="L57" s="426"/>
      <c r="M57" s="91" t="s">
        <v>792</v>
      </c>
      <c r="N57" s="426"/>
      <c r="O57" s="426"/>
      <c r="P57" s="426"/>
      <c r="Q57" s="426"/>
      <c r="R57" s="426"/>
      <c r="S57" s="426"/>
      <c r="T57" s="426"/>
      <c r="U57" s="426"/>
      <c r="V57" s="426"/>
      <c r="W57" s="426"/>
      <c r="X57" s="426"/>
      <c r="Y57" s="426"/>
      <c r="Z57" s="426"/>
      <c r="AA57" s="426"/>
      <c r="AB57" s="426"/>
      <c r="AC57" s="426"/>
      <c r="AD57" s="426"/>
      <c r="AE57" s="426"/>
      <c r="AF57" s="426"/>
      <c r="AG57" s="426"/>
      <c r="AH57" s="426"/>
      <c r="AI57" s="426"/>
      <c r="AJ57" s="426"/>
      <c r="AK57" s="426"/>
      <c r="AL57" s="426"/>
      <c r="AM57" s="426"/>
      <c r="AN57" s="426"/>
      <c r="AO57" s="426"/>
      <c r="AP57" s="426"/>
      <c r="AQ57" s="426"/>
      <c r="AR57" s="91" t="s">
        <v>792</v>
      </c>
      <c r="AS57" s="426"/>
      <c r="AT57" s="426"/>
      <c r="AU57" s="426"/>
      <c r="AV57" s="91" t="s">
        <v>792</v>
      </c>
      <c r="AW57" s="426"/>
      <c r="AX57" s="426"/>
      <c r="AY57" s="426"/>
      <c r="AZ57" s="428"/>
    </row>
    <row r="58" spans="2:52" ht="14.4" hidden="1" outlineLevel="1" x14ac:dyDescent="0.3">
      <c r="B58" s="425">
        <f t="shared" si="0"/>
        <v>51</v>
      </c>
      <c r="C58" s="95" t="s">
        <v>456</v>
      </c>
      <c r="D58" s="429" t="s">
        <v>796</v>
      </c>
      <c r="E58" s="429" t="s">
        <v>797</v>
      </c>
      <c r="F58" s="429" t="s">
        <v>1042</v>
      </c>
      <c r="G58" s="91"/>
      <c r="H58" s="91"/>
      <c r="I58" s="91" t="s">
        <v>792</v>
      </c>
      <c r="J58" s="426"/>
      <c r="K58" s="426"/>
      <c r="L58" s="426"/>
      <c r="M58" s="91" t="s">
        <v>792</v>
      </c>
      <c r="N58" s="426"/>
      <c r="O58" s="426"/>
      <c r="P58" s="426"/>
      <c r="Q58" s="426"/>
      <c r="R58" s="426"/>
      <c r="S58" s="426"/>
      <c r="T58" s="426"/>
      <c r="U58" s="426"/>
      <c r="V58" s="426"/>
      <c r="W58" s="426"/>
      <c r="X58" s="426"/>
      <c r="Y58" s="426"/>
      <c r="Z58" s="426"/>
      <c r="AA58" s="426"/>
      <c r="AB58" s="426"/>
      <c r="AC58" s="426"/>
      <c r="AD58" s="426"/>
      <c r="AE58" s="426"/>
      <c r="AF58" s="426"/>
      <c r="AG58" s="426"/>
      <c r="AH58" s="426"/>
      <c r="AI58" s="426"/>
      <c r="AJ58" s="426"/>
      <c r="AK58" s="426"/>
      <c r="AL58" s="426"/>
      <c r="AM58" s="426"/>
      <c r="AN58" s="426"/>
      <c r="AO58" s="426"/>
      <c r="AP58" s="426"/>
      <c r="AQ58" s="426"/>
      <c r="AR58" s="91" t="s">
        <v>792</v>
      </c>
      <c r="AS58" s="426"/>
      <c r="AT58" s="426"/>
      <c r="AU58" s="426"/>
      <c r="AV58" s="91" t="s">
        <v>792</v>
      </c>
      <c r="AW58" s="426"/>
      <c r="AX58" s="426"/>
      <c r="AY58" s="426"/>
      <c r="AZ58" s="428"/>
    </row>
    <row r="59" spans="2:52" ht="14.4" hidden="1" outlineLevel="1" x14ac:dyDescent="0.3">
      <c r="B59" s="425">
        <f t="shared" si="0"/>
        <v>52</v>
      </c>
      <c r="C59" s="95" t="s">
        <v>456</v>
      </c>
      <c r="D59" s="429" t="s">
        <v>796</v>
      </c>
      <c r="E59" s="429" t="s">
        <v>797</v>
      </c>
      <c r="F59" s="429" t="s">
        <v>1042</v>
      </c>
      <c r="G59" s="91"/>
      <c r="H59" s="91"/>
      <c r="I59" s="91" t="s">
        <v>792</v>
      </c>
      <c r="J59" s="426"/>
      <c r="K59" s="426"/>
      <c r="L59" s="426"/>
      <c r="M59" s="91" t="s">
        <v>792</v>
      </c>
      <c r="N59" s="426"/>
      <c r="O59" s="426"/>
      <c r="P59" s="426"/>
      <c r="Q59" s="426"/>
      <c r="R59" s="426"/>
      <c r="S59" s="426"/>
      <c r="T59" s="426"/>
      <c r="U59" s="426"/>
      <c r="V59" s="426"/>
      <c r="W59" s="426"/>
      <c r="X59" s="426"/>
      <c r="Y59" s="426"/>
      <c r="Z59" s="426"/>
      <c r="AA59" s="426"/>
      <c r="AB59" s="426"/>
      <c r="AC59" s="426"/>
      <c r="AD59" s="426"/>
      <c r="AE59" s="426"/>
      <c r="AF59" s="426"/>
      <c r="AG59" s="426"/>
      <c r="AH59" s="426"/>
      <c r="AI59" s="426"/>
      <c r="AJ59" s="426"/>
      <c r="AK59" s="426"/>
      <c r="AL59" s="426"/>
      <c r="AM59" s="426"/>
      <c r="AN59" s="426"/>
      <c r="AO59" s="426"/>
      <c r="AP59" s="426"/>
      <c r="AQ59" s="426"/>
      <c r="AR59" s="91" t="s">
        <v>792</v>
      </c>
      <c r="AS59" s="426"/>
      <c r="AT59" s="426"/>
      <c r="AU59" s="426"/>
      <c r="AV59" s="91" t="s">
        <v>792</v>
      </c>
      <c r="AW59" s="426"/>
      <c r="AX59" s="426"/>
      <c r="AY59" s="426"/>
      <c r="AZ59" s="428"/>
    </row>
    <row r="60" spans="2:52" ht="14.4" hidden="1" outlineLevel="1" x14ac:dyDescent="0.3">
      <c r="B60" s="425">
        <f t="shared" si="0"/>
        <v>53</v>
      </c>
      <c r="C60" s="95" t="s">
        <v>456</v>
      </c>
      <c r="D60" s="429" t="s">
        <v>796</v>
      </c>
      <c r="E60" s="429" t="s">
        <v>797</v>
      </c>
      <c r="F60" s="429" t="s">
        <v>1042</v>
      </c>
      <c r="G60" s="91"/>
      <c r="H60" s="91"/>
      <c r="I60" s="91" t="s">
        <v>792</v>
      </c>
      <c r="J60" s="426"/>
      <c r="K60" s="426"/>
      <c r="L60" s="426"/>
      <c r="M60" s="91" t="s">
        <v>792</v>
      </c>
      <c r="N60" s="426"/>
      <c r="O60" s="426"/>
      <c r="P60" s="426"/>
      <c r="Q60" s="426"/>
      <c r="R60" s="426"/>
      <c r="S60" s="426"/>
      <c r="T60" s="426"/>
      <c r="U60" s="426"/>
      <c r="V60" s="426"/>
      <c r="W60" s="426"/>
      <c r="X60" s="426"/>
      <c r="Y60" s="426"/>
      <c r="Z60" s="426"/>
      <c r="AA60" s="426"/>
      <c r="AB60" s="426"/>
      <c r="AC60" s="426"/>
      <c r="AD60" s="426"/>
      <c r="AE60" s="426"/>
      <c r="AF60" s="426"/>
      <c r="AG60" s="426"/>
      <c r="AH60" s="426"/>
      <c r="AI60" s="426"/>
      <c r="AJ60" s="426"/>
      <c r="AK60" s="426"/>
      <c r="AL60" s="426"/>
      <c r="AM60" s="426"/>
      <c r="AN60" s="426"/>
      <c r="AO60" s="426"/>
      <c r="AP60" s="426"/>
      <c r="AQ60" s="426"/>
      <c r="AR60" s="91" t="s">
        <v>792</v>
      </c>
      <c r="AS60" s="426"/>
      <c r="AT60" s="426"/>
      <c r="AU60" s="426"/>
      <c r="AV60" s="91" t="s">
        <v>792</v>
      </c>
      <c r="AW60" s="426"/>
      <c r="AX60" s="426"/>
      <c r="AY60" s="426"/>
      <c r="AZ60" s="428"/>
    </row>
    <row r="61" spans="2:52" ht="14.4" hidden="1" outlineLevel="1" x14ac:dyDescent="0.3">
      <c r="B61" s="425">
        <f t="shared" si="0"/>
        <v>54</v>
      </c>
      <c r="C61" s="95" t="s">
        <v>456</v>
      </c>
      <c r="D61" s="429" t="s">
        <v>796</v>
      </c>
      <c r="E61" s="429" t="s">
        <v>797</v>
      </c>
      <c r="F61" s="429" t="s">
        <v>1042</v>
      </c>
      <c r="G61" s="91"/>
      <c r="H61" s="91"/>
      <c r="I61" s="91" t="s">
        <v>792</v>
      </c>
      <c r="J61" s="426"/>
      <c r="K61" s="426"/>
      <c r="L61" s="426"/>
      <c r="M61" s="91" t="s">
        <v>792</v>
      </c>
      <c r="N61" s="426"/>
      <c r="O61" s="426"/>
      <c r="P61" s="426"/>
      <c r="Q61" s="426"/>
      <c r="R61" s="426"/>
      <c r="S61" s="426"/>
      <c r="T61" s="426"/>
      <c r="U61" s="426"/>
      <c r="V61" s="426"/>
      <c r="W61" s="426"/>
      <c r="X61" s="426"/>
      <c r="Y61" s="426"/>
      <c r="Z61" s="426"/>
      <c r="AA61" s="426"/>
      <c r="AB61" s="426"/>
      <c r="AC61" s="426"/>
      <c r="AD61" s="426"/>
      <c r="AE61" s="426"/>
      <c r="AF61" s="426"/>
      <c r="AG61" s="426"/>
      <c r="AH61" s="426"/>
      <c r="AI61" s="426"/>
      <c r="AJ61" s="426"/>
      <c r="AK61" s="426"/>
      <c r="AL61" s="426"/>
      <c r="AM61" s="426"/>
      <c r="AN61" s="426"/>
      <c r="AO61" s="426"/>
      <c r="AP61" s="426"/>
      <c r="AQ61" s="426"/>
      <c r="AR61" s="91" t="s">
        <v>792</v>
      </c>
      <c r="AS61" s="426"/>
      <c r="AT61" s="426"/>
      <c r="AU61" s="426"/>
      <c r="AV61" s="91" t="s">
        <v>792</v>
      </c>
      <c r="AW61" s="426"/>
      <c r="AX61" s="426"/>
      <c r="AY61" s="426"/>
      <c r="AZ61" s="428"/>
    </row>
    <row r="62" spans="2:52" ht="14.4" hidden="1" outlineLevel="1" x14ac:dyDescent="0.3">
      <c r="B62" s="425">
        <f t="shared" si="0"/>
        <v>55</v>
      </c>
      <c r="C62" s="95" t="s">
        <v>456</v>
      </c>
      <c r="D62" s="429" t="s">
        <v>796</v>
      </c>
      <c r="E62" s="429" t="s">
        <v>797</v>
      </c>
      <c r="F62" s="429" t="s">
        <v>1042</v>
      </c>
      <c r="G62" s="91"/>
      <c r="H62" s="91"/>
      <c r="I62" s="91" t="s">
        <v>792</v>
      </c>
      <c r="J62" s="426"/>
      <c r="K62" s="426"/>
      <c r="L62" s="426"/>
      <c r="M62" s="91" t="s">
        <v>792</v>
      </c>
      <c r="N62" s="426"/>
      <c r="O62" s="426"/>
      <c r="P62" s="426"/>
      <c r="Q62" s="426"/>
      <c r="R62" s="426"/>
      <c r="S62" s="426"/>
      <c r="T62" s="426"/>
      <c r="U62" s="426"/>
      <c r="V62" s="426"/>
      <c r="W62" s="426"/>
      <c r="X62" s="426"/>
      <c r="Y62" s="426"/>
      <c r="Z62" s="426"/>
      <c r="AA62" s="426"/>
      <c r="AB62" s="426"/>
      <c r="AC62" s="426"/>
      <c r="AD62" s="426"/>
      <c r="AE62" s="426"/>
      <c r="AF62" s="426"/>
      <c r="AG62" s="426"/>
      <c r="AH62" s="426"/>
      <c r="AI62" s="426"/>
      <c r="AJ62" s="426"/>
      <c r="AK62" s="426"/>
      <c r="AL62" s="426"/>
      <c r="AM62" s="426"/>
      <c r="AN62" s="426"/>
      <c r="AO62" s="426"/>
      <c r="AP62" s="426"/>
      <c r="AQ62" s="426"/>
      <c r="AR62" s="91" t="s">
        <v>792</v>
      </c>
      <c r="AS62" s="426"/>
      <c r="AT62" s="426"/>
      <c r="AU62" s="426"/>
      <c r="AV62" s="91" t="s">
        <v>792</v>
      </c>
      <c r="AW62" s="426"/>
      <c r="AX62" s="426"/>
      <c r="AY62" s="426"/>
      <c r="AZ62" s="428"/>
    </row>
    <row r="63" spans="2:52" ht="14.4" hidden="1" outlineLevel="1" x14ac:dyDescent="0.3">
      <c r="B63" s="425">
        <f t="shared" si="0"/>
        <v>56</v>
      </c>
      <c r="C63" s="95" t="s">
        <v>456</v>
      </c>
      <c r="D63" s="429" t="s">
        <v>796</v>
      </c>
      <c r="E63" s="429" t="s">
        <v>797</v>
      </c>
      <c r="F63" s="429" t="s">
        <v>1042</v>
      </c>
      <c r="G63" s="91"/>
      <c r="H63" s="91"/>
      <c r="I63" s="91" t="s">
        <v>792</v>
      </c>
      <c r="J63" s="426"/>
      <c r="K63" s="426"/>
      <c r="L63" s="426"/>
      <c r="M63" s="91" t="s">
        <v>792</v>
      </c>
      <c r="N63" s="426"/>
      <c r="O63" s="426"/>
      <c r="P63" s="426"/>
      <c r="Q63" s="426"/>
      <c r="R63" s="426"/>
      <c r="S63" s="426"/>
      <c r="T63" s="426"/>
      <c r="U63" s="426"/>
      <c r="V63" s="426"/>
      <c r="W63" s="426"/>
      <c r="X63" s="426"/>
      <c r="Y63" s="426"/>
      <c r="Z63" s="426"/>
      <c r="AA63" s="426"/>
      <c r="AB63" s="426"/>
      <c r="AC63" s="426"/>
      <c r="AD63" s="426"/>
      <c r="AE63" s="426"/>
      <c r="AF63" s="426"/>
      <c r="AG63" s="426"/>
      <c r="AH63" s="426"/>
      <c r="AI63" s="426"/>
      <c r="AJ63" s="426"/>
      <c r="AK63" s="426"/>
      <c r="AL63" s="426"/>
      <c r="AM63" s="426"/>
      <c r="AN63" s="426"/>
      <c r="AO63" s="426"/>
      <c r="AP63" s="426"/>
      <c r="AQ63" s="426"/>
      <c r="AR63" s="91" t="s">
        <v>792</v>
      </c>
      <c r="AS63" s="426"/>
      <c r="AT63" s="426"/>
      <c r="AU63" s="426"/>
      <c r="AV63" s="91" t="s">
        <v>792</v>
      </c>
      <c r="AW63" s="426"/>
      <c r="AX63" s="426"/>
      <c r="AY63" s="426"/>
      <c r="AZ63" s="428"/>
    </row>
    <row r="64" spans="2:52" ht="14.4" hidden="1" outlineLevel="1" x14ac:dyDescent="0.3">
      <c r="B64" s="425">
        <f t="shared" si="0"/>
        <v>57</v>
      </c>
      <c r="C64" s="95" t="s">
        <v>456</v>
      </c>
      <c r="D64" s="429" t="s">
        <v>796</v>
      </c>
      <c r="E64" s="429" t="s">
        <v>797</v>
      </c>
      <c r="F64" s="429" t="s">
        <v>1042</v>
      </c>
      <c r="G64" s="91"/>
      <c r="H64" s="91"/>
      <c r="I64" s="91" t="s">
        <v>792</v>
      </c>
      <c r="J64" s="426"/>
      <c r="K64" s="426"/>
      <c r="L64" s="426"/>
      <c r="M64" s="91" t="s">
        <v>792</v>
      </c>
      <c r="N64" s="426"/>
      <c r="O64" s="426"/>
      <c r="P64" s="426"/>
      <c r="Q64" s="426"/>
      <c r="R64" s="426"/>
      <c r="S64" s="426"/>
      <c r="T64" s="426"/>
      <c r="U64" s="426"/>
      <c r="V64" s="426"/>
      <c r="W64" s="426"/>
      <c r="X64" s="426"/>
      <c r="Y64" s="426"/>
      <c r="Z64" s="426"/>
      <c r="AA64" s="426"/>
      <c r="AB64" s="426"/>
      <c r="AC64" s="426"/>
      <c r="AD64" s="426"/>
      <c r="AE64" s="426"/>
      <c r="AF64" s="426"/>
      <c r="AG64" s="426"/>
      <c r="AH64" s="426"/>
      <c r="AI64" s="426"/>
      <c r="AJ64" s="426"/>
      <c r="AK64" s="426"/>
      <c r="AL64" s="426"/>
      <c r="AM64" s="426"/>
      <c r="AN64" s="426"/>
      <c r="AO64" s="426"/>
      <c r="AP64" s="426"/>
      <c r="AQ64" s="426"/>
      <c r="AR64" s="91" t="s">
        <v>792</v>
      </c>
      <c r="AS64" s="426"/>
      <c r="AT64" s="426"/>
      <c r="AU64" s="426"/>
      <c r="AV64" s="91" t="s">
        <v>792</v>
      </c>
      <c r="AW64" s="426"/>
      <c r="AX64" s="426"/>
      <c r="AY64" s="426"/>
      <c r="AZ64" s="428"/>
    </row>
    <row r="65" spans="2:52" ht="14.4" hidden="1" outlineLevel="1" x14ac:dyDescent="0.3">
      <c r="B65" s="425">
        <f t="shared" si="0"/>
        <v>58</v>
      </c>
      <c r="C65" s="95" t="s">
        <v>456</v>
      </c>
      <c r="D65" s="429" t="s">
        <v>796</v>
      </c>
      <c r="E65" s="429" t="s">
        <v>797</v>
      </c>
      <c r="F65" s="429" t="s">
        <v>1042</v>
      </c>
      <c r="G65" s="91"/>
      <c r="H65" s="91"/>
      <c r="I65" s="91" t="s">
        <v>792</v>
      </c>
      <c r="J65" s="426"/>
      <c r="K65" s="426"/>
      <c r="L65" s="426"/>
      <c r="M65" s="91" t="s">
        <v>792</v>
      </c>
      <c r="N65" s="426"/>
      <c r="O65" s="426"/>
      <c r="P65" s="426"/>
      <c r="Q65" s="426"/>
      <c r="R65" s="426"/>
      <c r="S65" s="426"/>
      <c r="T65" s="426"/>
      <c r="U65" s="426"/>
      <c r="V65" s="426"/>
      <c r="W65" s="426"/>
      <c r="X65" s="426"/>
      <c r="Y65" s="426"/>
      <c r="Z65" s="426"/>
      <c r="AA65" s="426"/>
      <c r="AB65" s="426"/>
      <c r="AC65" s="426"/>
      <c r="AD65" s="426"/>
      <c r="AE65" s="426"/>
      <c r="AF65" s="426"/>
      <c r="AG65" s="426"/>
      <c r="AH65" s="426"/>
      <c r="AI65" s="426"/>
      <c r="AJ65" s="426"/>
      <c r="AK65" s="426"/>
      <c r="AL65" s="426"/>
      <c r="AM65" s="426"/>
      <c r="AN65" s="426"/>
      <c r="AO65" s="426"/>
      <c r="AP65" s="426"/>
      <c r="AQ65" s="426"/>
      <c r="AR65" s="91" t="s">
        <v>792</v>
      </c>
      <c r="AS65" s="426"/>
      <c r="AT65" s="426"/>
      <c r="AU65" s="426"/>
      <c r="AV65" s="91" t="s">
        <v>792</v>
      </c>
      <c r="AW65" s="426"/>
      <c r="AX65" s="426"/>
      <c r="AY65" s="426"/>
      <c r="AZ65" s="428"/>
    </row>
    <row r="66" spans="2:52" ht="14.4" hidden="1" outlineLevel="1" x14ac:dyDescent="0.3">
      <c r="B66" s="425">
        <f t="shared" si="0"/>
        <v>59</v>
      </c>
      <c r="C66" s="95" t="s">
        <v>456</v>
      </c>
      <c r="D66" s="429" t="s">
        <v>796</v>
      </c>
      <c r="E66" s="429" t="s">
        <v>797</v>
      </c>
      <c r="F66" s="429" t="s">
        <v>1042</v>
      </c>
      <c r="G66" s="91"/>
      <c r="H66" s="91"/>
      <c r="I66" s="91" t="s">
        <v>792</v>
      </c>
      <c r="J66" s="426"/>
      <c r="K66" s="426"/>
      <c r="L66" s="426"/>
      <c r="M66" s="91" t="s">
        <v>792</v>
      </c>
      <c r="N66" s="426"/>
      <c r="O66" s="426"/>
      <c r="P66" s="426"/>
      <c r="Q66" s="426"/>
      <c r="R66" s="426"/>
      <c r="S66" s="426"/>
      <c r="T66" s="426"/>
      <c r="U66" s="426"/>
      <c r="V66" s="426"/>
      <c r="W66" s="426"/>
      <c r="X66" s="426"/>
      <c r="Y66" s="426"/>
      <c r="Z66" s="426"/>
      <c r="AA66" s="426"/>
      <c r="AB66" s="426"/>
      <c r="AC66" s="426"/>
      <c r="AD66" s="426"/>
      <c r="AE66" s="426"/>
      <c r="AF66" s="426"/>
      <c r="AG66" s="426"/>
      <c r="AH66" s="426"/>
      <c r="AI66" s="426"/>
      <c r="AJ66" s="426"/>
      <c r="AK66" s="426"/>
      <c r="AL66" s="426"/>
      <c r="AM66" s="426"/>
      <c r="AN66" s="426"/>
      <c r="AO66" s="426"/>
      <c r="AP66" s="426"/>
      <c r="AQ66" s="426"/>
      <c r="AR66" s="91" t="s">
        <v>792</v>
      </c>
      <c r="AS66" s="426"/>
      <c r="AT66" s="426"/>
      <c r="AU66" s="426"/>
      <c r="AV66" s="91" t="s">
        <v>792</v>
      </c>
      <c r="AW66" s="426"/>
      <c r="AX66" s="426"/>
      <c r="AY66" s="426"/>
      <c r="AZ66" s="428"/>
    </row>
    <row r="67" spans="2:52" ht="14.4" hidden="1" outlineLevel="1" x14ac:dyDescent="0.3">
      <c r="B67" s="425">
        <f t="shared" si="0"/>
        <v>60</v>
      </c>
      <c r="C67" s="95" t="s">
        <v>456</v>
      </c>
      <c r="D67" s="429" t="s">
        <v>796</v>
      </c>
      <c r="E67" s="429" t="s">
        <v>797</v>
      </c>
      <c r="F67" s="429" t="s">
        <v>1042</v>
      </c>
      <c r="G67" s="91"/>
      <c r="H67" s="91"/>
      <c r="I67" s="91" t="s">
        <v>792</v>
      </c>
      <c r="J67" s="426"/>
      <c r="K67" s="426"/>
      <c r="L67" s="426"/>
      <c r="M67" s="91" t="s">
        <v>792</v>
      </c>
      <c r="N67" s="426"/>
      <c r="O67" s="426"/>
      <c r="P67" s="426"/>
      <c r="Q67" s="426"/>
      <c r="R67" s="426"/>
      <c r="S67" s="426"/>
      <c r="T67" s="426"/>
      <c r="U67" s="426"/>
      <c r="V67" s="426"/>
      <c r="W67" s="426"/>
      <c r="X67" s="426"/>
      <c r="Y67" s="426"/>
      <c r="Z67" s="426"/>
      <c r="AA67" s="426"/>
      <c r="AB67" s="426"/>
      <c r="AC67" s="426"/>
      <c r="AD67" s="426"/>
      <c r="AE67" s="426"/>
      <c r="AF67" s="426"/>
      <c r="AG67" s="426"/>
      <c r="AH67" s="426"/>
      <c r="AI67" s="426"/>
      <c r="AJ67" s="426"/>
      <c r="AK67" s="426"/>
      <c r="AL67" s="426"/>
      <c r="AM67" s="426"/>
      <c r="AN67" s="426"/>
      <c r="AO67" s="426"/>
      <c r="AP67" s="426"/>
      <c r="AQ67" s="426"/>
      <c r="AR67" s="91" t="s">
        <v>792</v>
      </c>
      <c r="AS67" s="426"/>
      <c r="AT67" s="426"/>
      <c r="AU67" s="426"/>
      <c r="AV67" s="91" t="s">
        <v>792</v>
      </c>
      <c r="AW67" s="426"/>
      <c r="AX67" s="426"/>
      <c r="AY67" s="426"/>
      <c r="AZ67" s="428"/>
    </row>
    <row r="68" spans="2:52" ht="14.4" hidden="1" outlineLevel="1" x14ac:dyDescent="0.3">
      <c r="B68" s="425">
        <f t="shared" si="0"/>
        <v>61</v>
      </c>
      <c r="C68" s="95" t="s">
        <v>456</v>
      </c>
      <c r="D68" s="429" t="s">
        <v>796</v>
      </c>
      <c r="E68" s="429" t="s">
        <v>797</v>
      </c>
      <c r="F68" s="429" t="s">
        <v>1042</v>
      </c>
      <c r="G68" s="91"/>
      <c r="H68" s="91"/>
      <c r="I68" s="91" t="s">
        <v>792</v>
      </c>
      <c r="J68" s="426"/>
      <c r="K68" s="426"/>
      <c r="L68" s="426"/>
      <c r="M68" s="91" t="s">
        <v>792</v>
      </c>
      <c r="N68" s="426"/>
      <c r="O68" s="426"/>
      <c r="P68" s="426"/>
      <c r="Q68" s="426"/>
      <c r="R68" s="426"/>
      <c r="S68" s="426"/>
      <c r="T68" s="426"/>
      <c r="U68" s="426"/>
      <c r="V68" s="426"/>
      <c r="W68" s="426"/>
      <c r="X68" s="426"/>
      <c r="Y68" s="426"/>
      <c r="Z68" s="426"/>
      <c r="AA68" s="426"/>
      <c r="AB68" s="426"/>
      <c r="AC68" s="426"/>
      <c r="AD68" s="426"/>
      <c r="AE68" s="426"/>
      <c r="AF68" s="426"/>
      <c r="AG68" s="426"/>
      <c r="AH68" s="426"/>
      <c r="AI68" s="426"/>
      <c r="AJ68" s="426"/>
      <c r="AK68" s="426"/>
      <c r="AL68" s="426"/>
      <c r="AM68" s="426"/>
      <c r="AN68" s="426"/>
      <c r="AO68" s="426"/>
      <c r="AP68" s="426"/>
      <c r="AQ68" s="426"/>
      <c r="AR68" s="91" t="s">
        <v>792</v>
      </c>
      <c r="AS68" s="426"/>
      <c r="AT68" s="426"/>
      <c r="AU68" s="426"/>
      <c r="AV68" s="91" t="s">
        <v>792</v>
      </c>
      <c r="AW68" s="426"/>
      <c r="AX68" s="426"/>
      <c r="AY68" s="426"/>
      <c r="AZ68" s="428"/>
    </row>
    <row r="69" spans="2:52" ht="14.4" hidden="1" outlineLevel="1" x14ac:dyDescent="0.3">
      <c r="B69" s="425">
        <f t="shared" si="0"/>
        <v>62</v>
      </c>
      <c r="C69" s="95" t="s">
        <v>456</v>
      </c>
      <c r="D69" s="429" t="s">
        <v>796</v>
      </c>
      <c r="E69" s="429" t="s">
        <v>797</v>
      </c>
      <c r="F69" s="429" t="s">
        <v>1042</v>
      </c>
      <c r="G69" s="91"/>
      <c r="H69" s="91"/>
      <c r="I69" s="91" t="s">
        <v>792</v>
      </c>
      <c r="J69" s="426"/>
      <c r="K69" s="426"/>
      <c r="L69" s="426"/>
      <c r="M69" s="91" t="s">
        <v>792</v>
      </c>
      <c r="N69" s="426"/>
      <c r="O69" s="426"/>
      <c r="P69" s="426"/>
      <c r="Q69" s="426"/>
      <c r="R69" s="426"/>
      <c r="S69" s="426"/>
      <c r="T69" s="426"/>
      <c r="U69" s="426"/>
      <c r="V69" s="426"/>
      <c r="W69" s="426"/>
      <c r="X69" s="426"/>
      <c r="Y69" s="426"/>
      <c r="Z69" s="426"/>
      <c r="AA69" s="426"/>
      <c r="AB69" s="426"/>
      <c r="AC69" s="426"/>
      <c r="AD69" s="426"/>
      <c r="AE69" s="426"/>
      <c r="AF69" s="426"/>
      <c r="AG69" s="426"/>
      <c r="AH69" s="426"/>
      <c r="AI69" s="426"/>
      <c r="AJ69" s="426"/>
      <c r="AK69" s="426"/>
      <c r="AL69" s="426"/>
      <c r="AM69" s="426"/>
      <c r="AN69" s="426"/>
      <c r="AO69" s="426"/>
      <c r="AP69" s="426"/>
      <c r="AQ69" s="426"/>
      <c r="AR69" s="91" t="s">
        <v>792</v>
      </c>
      <c r="AS69" s="426"/>
      <c r="AT69" s="426"/>
      <c r="AU69" s="426"/>
      <c r="AV69" s="91" t="s">
        <v>792</v>
      </c>
      <c r="AW69" s="426"/>
      <c r="AX69" s="426"/>
      <c r="AY69" s="426"/>
      <c r="AZ69" s="428"/>
    </row>
    <row r="70" spans="2:52" ht="14.4" hidden="1" outlineLevel="1" x14ac:dyDescent="0.3">
      <c r="B70" s="425">
        <f t="shared" si="0"/>
        <v>63</v>
      </c>
      <c r="C70" s="95" t="s">
        <v>456</v>
      </c>
      <c r="D70" s="429" t="s">
        <v>796</v>
      </c>
      <c r="E70" s="429" t="s">
        <v>797</v>
      </c>
      <c r="F70" s="429" t="s">
        <v>1042</v>
      </c>
      <c r="G70" s="91"/>
      <c r="H70" s="91"/>
      <c r="I70" s="91" t="s">
        <v>792</v>
      </c>
      <c r="J70" s="426"/>
      <c r="K70" s="426"/>
      <c r="L70" s="426"/>
      <c r="M70" s="91" t="s">
        <v>792</v>
      </c>
      <c r="N70" s="426"/>
      <c r="O70" s="426"/>
      <c r="P70" s="426"/>
      <c r="Q70" s="426"/>
      <c r="R70" s="426"/>
      <c r="S70" s="426"/>
      <c r="T70" s="426"/>
      <c r="U70" s="426"/>
      <c r="V70" s="426"/>
      <c r="W70" s="426"/>
      <c r="X70" s="426"/>
      <c r="Y70" s="426"/>
      <c r="Z70" s="426"/>
      <c r="AA70" s="426"/>
      <c r="AB70" s="426"/>
      <c r="AC70" s="426"/>
      <c r="AD70" s="426"/>
      <c r="AE70" s="426"/>
      <c r="AF70" s="426"/>
      <c r="AG70" s="426"/>
      <c r="AH70" s="426"/>
      <c r="AI70" s="426"/>
      <c r="AJ70" s="426"/>
      <c r="AK70" s="426"/>
      <c r="AL70" s="426"/>
      <c r="AM70" s="426"/>
      <c r="AN70" s="426"/>
      <c r="AO70" s="426"/>
      <c r="AP70" s="426"/>
      <c r="AQ70" s="426"/>
      <c r="AR70" s="91" t="s">
        <v>792</v>
      </c>
      <c r="AS70" s="426"/>
      <c r="AT70" s="426"/>
      <c r="AU70" s="426"/>
      <c r="AV70" s="91" t="s">
        <v>792</v>
      </c>
      <c r="AW70" s="426"/>
      <c r="AX70" s="426"/>
      <c r="AY70" s="426"/>
      <c r="AZ70" s="428"/>
    </row>
    <row r="71" spans="2:52" ht="14.4" hidden="1" outlineLevel="1" x14ac:dyDescent="0.3">
      <c r="B71" s="425">
        <f t="shared" si="0"/>
        <v>64</v>
      </c>
      <c r="C71" s="95" t="s">
        <v>456</v>
      </c>
      <c r="D71" s="429" t="s">
        <v>796</v>
      </c>
      <c r="E71" s="429" t="s">
        <v>797</v>
      </c>
      <c r="F71" s="429" t="s">
        <v>1042</v>
      </c>
      <c r="G71" s="91"/>
      <c r="H71" s="91"/>
      <c r="I71" s="91" t="s">
        <v>792</v>
      </c>
      <c r="J71" s="426"/>
      <c r="K71" s="426"/>
      <c r="L71" s="426"/>
      <c r="M71" s="91" t="s">
        <v>792</v>
      </c>
      <c r="N71" s="426"/>
      <c r="O71" s="426"/>
      <c r="P71" s="426"/>
      <c r="Q71" s="426"/>
      <c r="R71" s="426"/>
      <c r="S71" s="426"/>
      <c r="T71" s="426"/>
      <c r="U71" s="426"/>
      <c r="V71" s="426"/>
      <c r="W71" s="426"/>
      <c r="X71" s="426"/>
      <c r="Y71" s="426"/>
      <c r="Z71" s="426"/>
      <c r="AA71" s="426"/>
      <c r="AB71" s="426"/>
      <c r="AC71" s="426"/>
      <c r="AD71" s="426"/>
      <c r="AE71" s="426"/>
      <c r="AF71" s="426"/>
      <c r="AG71" s="426"/>
      <c r="AH71" s="426"/>
      <c r="AI71" s="426"/>
      <c r="AJ71" s="426"/>
      <c r="AK71" s="426"/>
      <c r="AL71" s="426"/>
      <c r="AM71" s="426"/>
      <c r="AN71" s="426"/>
      <c r="AO71" s="426"/>
      <c r="AP71" s="426"/>
      <c r="AQ71" s="426"/>
      <c r="AR71" s="91" t="s">
        <v>792</v>
      </c>
      <c r="AS71" s="426"/>
      <c r="AT71" s="426"/>
      <c r="AU71" s="426"/>
      <c r="AV71" s="91" t="s">
        <v>792</v>
      </c>
      <c r="AW71" s="426"/>
      <c r="AX71" s="426"/>
      <c r="AY71" s="426"/>
      <c r="AZ71" s="428"/>
    </row>
    <row r="72" spans="2:52" ht="14.4" hidden="1" outlineLevel="1" x14ac:dyDescent="0.3">
      <c r="B72" s="425">
        <f t="shared" si="0"/>
        <v>65</v>
      </c>
      <c r="C72" s="95" t="s">
        <v>456</v>
      </c>
      <c r="D72" s="429" t="s">
        <v>796</v>
      </c>
      <c r="E72" s="429" t="s">
        <v>797</v>
      </c>
      <c r="F72" s="429" t="s">
        <v>1042</v>
      </c>
      <c r="G72" s="91"/>
      <c r="H72" s="91"/>
      <c r="I72" s="91" t="s">
        <v>792</v>
      </c>
      <c r="J72" s="426"/>
      <c r="K72" s="426"/>
      <c r="L72" s="426"/>
      <c r="M72" s="91" t="s">
        <v>792</v>
      </c>
      <c r="N72" s="426"/>
      <c r="O72" s="426"/>
      <c r="P72" s="426"/>
      <c r="Q72" s="426"/>
      <c r="R72" s="426"/>
      <c r="S72" s="426"/>
      <c r="T72" s="426"/>
      <c r="U72" s="426"/>
      <c r="V72" s="426"/>
      <c r="W72" s="426"/>
      <c r="X72" s="426"/>
      <c r="Y72" s="426"/>
      <c r="Z72" s="426"/>
      <c r="AA72" s="426"/>
      <c r="AB72" s="426"/>
      <c r="AC72" s="426"/>
      <c r="AD72" s="426"/>
      <c r="AE72" s="426"/>
      <c r="AF72" s="426"/>
      <c r="AG72" s="426"/>
      <c r="AH72" s="426"/>
      <c r="AI72" s="426"/>
      <c r="AJ72" s="426"/>
      <c r="AK72" s="426"/>
      <c r="AL72" s="426"/>
      <c r="AM72" s="426"/>
      <c r="AN72" s="426"/>
      <c r="AO72" s="426"/>
      <c r="AP72" s="426"/>
      <c r="AQ72" s="426"/>
      <c r="AR72" s="91" t="s">
        <v>792</v>
      </c>
      <c r="AS72" s="426"/>
      <c r="AT72" s="426"/>
      <c r="AU72" s="426"/>
      <c r="AV72" s="91" t="s">
        <v>792</v>
      </c>
      <c r="AW72" s="426"/>
      <c r="AX72" s="426"/>
      <c r="AY72" s="426"/>
      <c r="AZ72" s="428"/>
    </row>
    <row r="73" spans="2:52" ht="14.4" hidden="1" outlineLevel="1" x14ac:dyDescent="0.3">
      <c r="B73" s="425">
        <f t="shared" si="0"/>
        <v>66</v>
      </c>
      <c r="C73" s="95" t="s">
        <v>456</v>
      </c>
      <c r="D73" s="429" t="s">
        <v>796</v>
      </c>
      <c r="E73" s="429" t="s">
        <v>797</v>
      </c>
      <c r="F73" s="429" t="s">
        <v>1042</v>
      </c>
      <c r="G73" s="91"/>
      <c r="H73" s="91"/>
      <c r="I73" s="91" t="s">
        <v>792</v>
      </c>
      <c r="J73" s="426"/>
      <c r="K73" s="426"/>
      <c r="L73" s="426"/>
      <c r="M73" s="91" t="s">
        <v>792</v>
      </c>
      <c r="N73" s="426"/>
      <c r="O73" s="426"/>
      <c r="P73" s="426"/>
      <c r="Q73" s="426"/>
      <c r="R73" s="426"/>
      <c r="S73" s="426"/>
      <c r="T73" s="426"/>
      <c r="U73" s="426"/>
      <c r="V73" s="426"/>
      <c r="W73" s="426"/>
      <c r="X73" s="426"/>
      <c r="Y73" s="426"/>
      <c r="Z73" s="426"/>
      <c r="AA73" s="426"/>
      <c r="AB73" s="426"/>
      <c r="AC73" s="426"/>
      <c r="AD73" s="426"/>
      <c r="AE73" s="426"/>
      <c r="AF73" s="426"/>
      <c r="AG73" s="426"/>
      <c r="AH73" s="426"/>
      <c r="AI73" s="426"/>
      <c r="AJ73" s="426"/>
      <c r="AK73" s="426"/>
      <c r="AL73" s="426"/>
      <c r="AM73" s="426"/>
      <c r="AN73" s="426"/>
      <c r="AO73" s="426"/>
      <c r="AP73" s="426"/>
      <c r="AQ73" s="426"/>
      <c r="AR73" s="91" t="s">
        <v>792</v>
      </c>
      <c r="AS73" s="426"/>
      <c r="AT73" s="426"/>
      <c r="AU73" s="426"/>
      <c r="AV73" s="91" t="s">
        <v>792</v>
      </c>
      <c r="AW73" s="426"/>
      <c r="AX73" s="426"/>
      <c r="AY73" s="426"/>
      <c r="AZ73" s="428"/>
    </row>
    <row r="74" spans="2:52" ht="14.4" hidden="1" outlineLevel="1" x14ac:dyDescent="0.3">
      <c r="B74" s="425">
        <f t="shared" ref="B74:B92" si="1">1+B73</f>
        <v>67</v>
      </c>
      <c r="C74" s="95" t="s">
        <v>456</v>
      </c>
      <c r="D74" s="429" t="s">
        <v>796</v>
      </c>
      <c r="E74" s="429" t="s">
        <v>797</v>
      </c>
      <c r="F74" s="429" t="s">
        <v>1042</v>
      </c>
      <c r="G74" s="91"/>
      <c r="H74" s="91"/>
      <c r="I74" s="91" t="s">
        <v>792</v>
      </c>
      <c r="J74" s="426"/>
      <c r="K74" s="426"/>
      <c r="L74" s="426"/>
      <c r="M74" s="91" t="s">
        <v>792</v>
      </c>
      <c r="N74" s="426"/>
      <c r="O74" s="426"/>
      <c r="P74" s="426"/>
      <c r="Q74" s="426"/>
      <c r="R74" s="426"/>
      <c r="S74" s="426"/>
      <c r="T74" s="426"/>
      <c r="U74" s="426"/>
      <c r="V74" s="426"/>
      <c r="W74" s="426"/>
      <c r="X74" s="426"/>
      <c r="Y74" s="426"/>
      <c r="Z74" s="426"/>
      <c r="AA74" s="426"/>
      <c r="AB74" s="426"/>
      <c r="AC74" s="426"/>
      <c r="AD74" s="426"/>
      <c r="AE74" s="426"/>
      <c r="AF74" s="426"/>
      <c r="AG74" s="426"/>
      <c r="AH74" s="426"/>
      <c r="AI74" s="426"/>
      <c r="AJ74" s="426"/>
      <c r="AK74" s="426"/>
      <c r="AL74" s="426"/>
      <c r="AM74" s="426"/>
      <c r="AN74" s="426"/>
      <c r="AO74" s="426"/>
      <c r="AP74" s="426"/>
      <c r="AQ74" s="426"/>
      <c r="AR74" s="91" t="s">
        <v>792</v>
      </c>
      <c r="AS74" s="426"/>
      <c r="AT74" s="426"/>
      <c r="AU74" s="426"/>
      <c r="AV74" s="91" t="s">
        <v>792</v>
      </c>
      <c r="AW74" s="426"/>
      <c r="AX74" s="426"/>
      <c r="AY74" s="426"/>
      <c r="AZ74" s="428"/>
    </row>
    <row r="75" spans="2:52" ht="14.4" hidden="1" outlineLevel="1" x14ac:dyDescent="0.3">
      <c r="B75" s="425">
        <f t="shared" si="1"/>
        <v>68</v>
      </c>
      <c r="C75" s="95" t="s">
        <v>456</v>
      </c>
      <c r="D75" s="429" t="s">
        <v>796</v>
      </c>
      <c r="E75" s="429" t="s">
        <v>797</v>
      </c>
      <c r="F75" s="429" t="s">
        <v>1042</v>
      </c>
      <c r="G75" s="91"/>
      <c r="H75" s="91"/>
      <c r="I75" s="91" t="s">
        <v>792</v>
      </c>
      <c r="J75" s="426"/>
      <c r="K75" s="426"/>
      <c r="L75" s="426"/>
      <c r="M75" s="91" t="s">
        <v>792</v>
      </c>
      <c r="N75" s="426"/>
      <c r="O75" s="426"/>
      <c r="P75" s="426"/>
      <c r="Q75" s="426"/>
      <c r="R75" s="426"/>
      <c r="S75" s="426"/>
      <c r="T75" s="426"/>
      <c r="U75" s="426"/>
      <c r="V75" s="426"/>
      <c r="W75" s="426"/>
      <c r="X75" s="426"/>
      <c r="Y75" s="426"/>
      <c r="Z75" s="426"/>
      <c r="AA75" s="426"/>
      <c r="AB75" s="426"/>
      <c r="AC75" s="426"/>
      <c r="AD75" s="426"/>
      <c r="AE75" s="426"/>
      <c r="AF75" s="426"/>
      <c r="AG75" s="426"/>
      <c r="AH75" s="426"/>
      <c r="AI75" s="426"/>
      <c r="AJ75" s="426"/>
      <c r="AK75" s="426"/>
      <c r="AL75" s="426"/>
      <c r="AM75" s="426"/>
      <c r="AN75" s="426"/>
      <c r="AO75" s="426"/>
      <c r="AP75" s="426"/>
      <c r="AQ75" s="426"/>
      <c r="AR75" s="91" t="s">
        <v>792</v>
      </c>
      <c r="AS75" s="426"/>
      <c r="AT75" s="426"/>
      <c r="AU75" s="426"/>
      <c r="AV75" s="91" t="s">
        <v>792</v>
      </c>
      <c r="AW75" s="426"/>
      <c r="AX75" s="426"/>
      <c r="AY75" s="426"/>
      <c r="AZ75" s="428"/>
    </row>
    <row r="76" spans="2:52" ht="14.4" hidden="1" outlineLevel="1" x14ac:dyDescent="0.3">
      <c r="B76" s="425">
        <f t="shared" si="1"/>
        <v>69</v>
      </c>
      <c r="C76" s="95" t="s">
        <v>456</v>
      </c>
      <c r="D76" s="429" t="s">
        <v>796</v>
      </c>
      <c r="E76" s="429" t="s">
        <v>797</v>
      </c>
      <c r="F76" s="429" t="s">
        <v>1042</v>
      </c>
      <c r="G76" s="91"/>
      <c r="H76" s="91"/>
      <c r="I76" s="91" t="s">
        <v>792</v>
      </c>
      <c r="J76" s="426"/>
      <c r="K76" s="426"/>
      <c r="L76" s="426"/>
      <c r="M76" s="91" t="s">
        <v>792</v>
      </c>
      <c r="N76" s="426"/>
      <c r="O76" s="426"/>
      <c r="P76" s="426"/>
      <c r="Q76" s="426"/>
      <c r="R76" s="426"/>
      <c r="S76" s="426"/>
      <c r="T76" s="426"/>
      <c r="U76" s="426"/>
      <c r="V76" s="426"/>
      <c r="W76" s="426"/>
      <c r="X76" s="426"/>
      <c r="Y76" s="426"/>
      <c r="Z76" s="426"/>
      <c r="AA76" s="426"/>
      <c r="AB76" s="426"/>
      <c r="AC76" s="426"/>
      <c r="AD76" s="426"/>
      <c r="AE76" s="426"/>
      <c r="AF76" s="426"/>
      <c r="AG76" s="426"/>
      <c r="AH76" s="426"/>
      <c r="AI76" s="426"/>
      <c r="AJ76" s="426"/>
      <c r="AK76" s="426"/>
      <c r="AL76" s="426"/>
      <c r="AM76" s="426"/>
      <c r="AN76" s="426"/>
      <c r="AO76" s="426"/>
      <c r="AP76" s="426"/>
      <c r="AQ76" s="426"/>
      <c r="AR76" s="91" t="s">
        <v>792</v>
      </c>
      <c r="AS76" s="426"/>
      <c r="AT76" s="426"/>
      <c r="AU76" s="426"/>
      <c r="AV76" s="91" t="s">
        <v>792</v>
      </c>
      <c r="AW76" s="426"/>
      <c r="AX76" s="426"/>
      <c r="AY76" s="426"/>
      <c r="AZ76" s="428"/>
    </row>
    <row r="77" spans="2:52" ht="14.4" hidden="1" outlineLevel="1" x14ac:dyDescent="0.3">
      <c r="B77" s="425">
        <f t="shared" si="1"/>
        <v>70</v>
      </c>
      <c r="C77" s="95" t="s">
        <v>456</v>
      </c>
      <c r="D77" s="429" t="s">
        <v>796</v>
      </c>
      <c r="E77" s="429" t="s">
        <v>797</v>
      </c>
      <c r="F77" s="429" t="s">
        <v>1042</v>
      </c>
      <c r="G77" s="91"/>
      <c r="H77" s="91"/>
      <c r="I77" s="91" t="s">
        <v>792</v>
      </c>
      <c r="J77" s="426"/>
      <c r="K77" s="426"/>
      <c r="L77" s="426"/>
      <c r="M77" s="91" t="s">
        <v>792</v>
      </c>
      <c r="N77" s="426"/>
      <c r="O77" s="426"/>
      <c r="P77" s="426"/>
      <c r="Q77" s="426"/>
      <c r="R77" s="426"/>
      <c r="S77" s="426"/>
      <c r="T77" s="426"/>
      <c r="U77" s="426"/>
      <c r="V77" s="426"/>
      <c r="W77" s="426"/>
      <c r="X77" s="426"/>
      <c r="Y77" s="426"/>
      <c r="Z77" s="426"/>
      <c r="AA77" s="426"/>
      <c r="AB77" s="426"/>
      <c r="AC77" s="426"/>
      <c r="AD77" s="426"/>
      <c r="AE77" s="426"/>
      <c r="AF77" s="426"/>
      <c r="AG77" s="426"/>
      <c r="AH77" s="426"/>
      <c r="AI77" s="426"/>
      <c r="AJ77" s="426"/>
      <c r="AK77" s="426"/>
      <c r="AL77" s="426"/>
      <c r="AM77" s="426"/>
      <c r="AN77" s="426"/>
      <c r="AO77" s="426"/>
      <c r="AP77" s="426"/>
      <c r="AQ77" s="426"/>
      <c r="AR77" s="91" t="s">
        <v>792</v>
      </c>
      <c r="AS77" s="426"/>
      <c r="AT77" s="426"/>
      <c r="AU77" s="426"/>
      <c r="AV77" s="91" t="s">
        <v>792</v>
      </c>
      <c r="AW77" s="426"/>
      <c r="AX77" s="426"/>
      <c r="AY77" s="426"/>
      <c r="AZ77" s="428"/>
    </row>
    <row r="78" spans="2:52" ht="14.4" hidden="1" outlineLevel="1" x14ac:dyDescent="0.3">
      <c r="B78" s="425">
        <f t="shared" si="1"/>
        <v>71</v>
      </c>
      <c r="C78" s="95" t="s">
        <v>456</v>
      </c>
      <c r="D78" s="429" t="s">
        <v>796</v>
      </c>
      <c r="E78" s="429" t="s">
        <v>797</v>
      </c>
      <c r="F78" s="429" t="s">
        <v>1042</v>
      </c>
      <c r="G78" s="91"/>
      <c r="H78" s="91"/>
      <c r="I78" s="91" t="s">
        <v>792</v>
      </c>
      <c r="J78" s="426"/>
      <c r="K78" s="426"/>
      <c r="L78" s="426"/>
      <c r="M78" s="91" t="s">
        <v>792</v>
      </c>
      <c r="N78" s="426"/>
      <c r="O78" s="426"/>
      <c r="P78" s="426"/>
      <c r="Q78" s="426"/>
      <c r="R78" s="426"/>
      <c r="S78" s="426"/>
      <c r="T78" s="426"/>
      <c r="U78" s="426"/>
      <c r="V78" s="426"/>
      <c r="W78" s="426"/>
      <c r="X78" s="426"/>
      <c r="Y78" s="426"/>
      <c r="Z78" s="426"/>
      <c r="AA78" s="426"/>
      <c r="AB78" s="426"/>
      <c r="AC78" s="426"/>
      <c r="AD78" s="426"/>
      <c r="AE78" s="426"/>
      <c r="AF78" s="426"/>
      <c r="AG78" s="426"/>
      <c r="AH78" s="426"/>
      <c r="AI78" s="426"/>
      <c r="AJ78" s="426"/>
      <c r="AK78" s="426"/>
      <c r="AL78" s="426"/>
      <c r="AM78" s="426"/>
      <c r="AN78" s="426"/>
      <c r="AO78" s="426"/>
      <c r="AP78" s="426"/>
      <c r="AQ78" s="426"/>
      <c r="AR78" s="91" t="s">
        <v>792</v>
      </c>
      <c r="AS78" s="426"/>
      <c r="AT78" s="426"/>
      <c r="AU78" s="426"/>
      <c r="AV78" s="91" t="s">
        <v>792</v>
      </c>
      <c r="AW78" s="426"/>
      <c r="AX78" s="426"/>
      <c r="AY78" s="426"/>
      <c r="AZ78" s="428"/>
    </row>
    <row r="79" spans="2:52" ht="14.4" hidden="1" outlineLevel="1" x14ac:dyDescent="0.3">
      <c r="B79" s="425">
        <f t="shared" si="1"/>
        <v>72</v>
      </c>
      <c r="C79" s="95" t="s">
        <v>456</v>
      </c>
      <c r="D79" s="429" t="s">
        <v>796</v>
      </c>
      <c r="E79" s="429" t="s">
        <v>797</v>
      </c>
      <c r="F79" s="429" t="s">
        <v>1042</v>
      </c>
      <c r="G79" s="91"/>
      <c r="H79" s="91"/>
      <c r="I79" s="91" t="s">
        <v>792</v>
      </c>
      <c r="J79" s="426"/>
      <c r="K79" s="426"/>
      <c r="L79" s="426"/>
      <c r="M79" s="91" t="s">
        <v>792</v>
      </c>
      <c r="N79" s="426"/>
      <c r="O79" s="426"/>
      <c r="P79" s="426"/>
      <c r="Q79" s="426"/>
      <c r="R79" s="426"/>
      <c r="S79" s="426"/>
      <c r="T79" s="426"/>
      <c r="U79" s="426"/>
      <c r="V79" s="426"/>
      <c r="W79" s="426"/>
      <c r="X79" s="426"/>
      <c r="Y79" s="426"/>
      <c r="Z79" s="426"/>
      <c r="AA79" s="426"/>
      <c r="AB79" s="426"/>
      <c r="AC79" s="426"/>
      <c r="AD79" s="426"/>
      <c r="AE79" s="426"/>
      <c r="AF79" s="426"/>
      <c r="AG79" s="426"/>
      <c r="AH79" s="426"/>
      <c r="AI79" s="426"/>
      <c r="AJ79" s="426"/>
      <c r="AK79" s="426"/>
      <c r="AL79" s="426"/>
      <c r="AM79" s="426"/>
      <c r="AN79" s="426"/>
      <c r="AO79" s="426"/>
      <c r="AP79" s="426"/>
      <c r="AQ79" s="426"/>
      <c r="AR79" s="91" t="s">
        <v>792</v>
      </c>
      <c r="AS79" s="426"/>
      <c r="AT79" s="426"/>
      <c r="AU79" s="426"/>
      <c r="AV79" s="91" t="s">
        <v>792</v>
      </c>
      <c r="AW79" s="426"/>
      <c r="AX79" s="426"/>
      <c r="AY79" s="426"/>
      <c r="AZ79" s="428"/>
    </row>
    <row r="80" spans="2:52" ht="14.4" hidden="1" outlineLevel="1" x14ac:dyDescent="0.3">
      <c r="B80" s="425">
        <f t="shared" si="1"/>
        <v>73</v>
      </c>
      <c r="C80" s="95" t="s">
        <v>456</v>
      </c>
      <c r="D80" s="429" t="s">
        <v>796</v>
      </c>
      <c r="E80" s="429" t="s">
        <v>797</v>
      </c>
      <c r="F80" s="429" t="s">
        <v>1042</v>
      </c>
      <c r="G80" s="91"/>
      <c r="H80" s="91"/>
      <c r="I80" s="91" t="s">
        <v>792</v>
      </c>
      <c r="J80" s="426"/>
      <c r="K80" s="426"/>
      <c r="L80" s="426"/>
      <c r="M80" s="91" t="s">
        <v>792</v>
      </c>
      <c r="N80" s="426"/>
      <c r="O80" s="426"/>
      <c r="P80" s="426"/>
      <c r="Q80" s="426"/>
      <c r="R80" s="426"/>
      <c r="S80" s="426"/>
      <c r="T80" s="426"/>
      <c r="U80" s="426"/>
      <c r="V80" s="426"/>
      <c r="W80" s="426"/>
      <c r="X80" s="426"/>
      <c r="Y80" s="426"/>
      <c r="Z80" s="426"/>
      <c r="AA80" s="426"/>
      <c r="AB80" s="426"/>
      <c r="AC80" s="426"/>
      <c r="AD80" s="426"/>
      <c r="AE80" s="426"/>
      <c r="AF80" s="426"/>
      <c r="AG80" s="426"/>
      <c r="AH80" s="426"/>
      <c r="AI80" s="426"/>
      <c r="AJ80" s="426"/>
      <c r="AK80" s="426"/>
      <c r="AL80" s="426"/>
      <c r="AM80" s="426"/>
      <c r="AN80" s="426"/>
      <c r="AO80" s="426"/>
      <c r="AP80" s="426"/>
      <c r="AQ80" s="426"/>
      <c r="AR80" s="91" t="s">
        <v>792</v>
      </c>
      <c r="AS80" s="426"/>
      <c r="AT80" s="426"/>
      <c r="AU80" s="426"/>
      <c r="AV80" s="91" t="s">
        <v>792</v>
      </c>
      <c r="AW80" s="426"/>
      <c r="AX80" s="426"/>
      <c r="AY80" s="426"/>
      <c r="AZ80" s="428"/>
    </row>
    <row r="81" spans="2:75" ht="14.4" hidden="1" outlineLevel="1" x14ac:dyDescent="0.3">
      <c r="B81" s="425">
        <f t="shared" si="1"/>
        <v>74</v>
      </c>
      <c r="C81" s="95" t="s">
        <v>456</v>
      </c>
      <c r="D81" s="429" t="s">
        <v>796</v>
      </c>
      <c r="E81" s="429" t="s">
        <v>797</v>
      </c>
      <c r="F81" s="429" t="s">
        <v>1042</v>
      </c>
      <c r="G81" s="91"/>
      <c r="H81" s="91"/>
      <c r="I81" s="91" t="s">
        <v>792</v>
      </c>
      <c r="J81" s="426"/>
      <c r="K81" s="426"/>
      <c r="L81" s="426"/>
      <c r="M81" s="91" t="s">
        <v>792</v>
      </c>
      <c r="N81" s="426"/>
      <c r="O81" s="426"/>
      <c r="P81" s="426"/>
      <c r="Q81" s="426"/>
      <c r="R81" s="426"/>
      <c r="S81" s="426"/>
      <c r="T81" s="426"/>
      <c r="U81" s="426"/>
      <c r="V81" s="426"/>
      <c r="W81" s="426"/>
      <c r="X81" s="426"/>
      <c r="Y81" s="426"/>
      <c r="Z81" s="426"/>
      <c r="AA81" s="426"/>
      <c r="AB81" s="426"/>
      <c r="AC81" s="426"/>
      <c r="AD81" s="426"/>
      <c r="AE81" s="426"/>
      <c r="AF81" s="426"/>
      <c r="AG81" s="426"/>
      <c r="AH81" s="426"/>
      <c r="AI81" s="426"/>
      <c r="AJ81" s="426"/>
      <c r="AK81" s="426"/>
      <c r="AL81" s="426"/>
      <c r="AM81" s="426"/>
      <c r="AN81" s="426"/>
      <c r="AO81" s="426"/>
      <c r="AP81" s="426"/>
      <c r="AQ81" s="426"/>
      <c r="AR81" s="91" t="s">
        <v>792</v>
      </c>
      <c r="AS81" s="426"/>
      <c r="AT81" s="426"/>
      <c r="AU81" s="426"/>
      <c r="AV81" s="91" t="s">
        <v>792</v>
      </c>
      <c r="AW81" s="426"/>
      <c r="AX81" s="426"/>
      <c r="AY81" s="426"/>
      <c r="AZ81" s="428"/>
    </row>
    <row r="82" spans="2:75" ht="14.4" hidden="1" outlineLevel="1" x14ac:dyDescent="0.3">
      <c r="B82" s="425">
        <f t="shared" si="1"/>
        <v>75</v>
      </c>
      <c r="C82" s="95" t="s">
        <v>456</v>
      </c>
      <c r="D82" s="429" t="s">
        <v>796</v>
      </c>
      <c r="E82" s="429" t="s">
        <v>797</v>
      </c>
      <c r="F82" s="429" t="s">
        <v>1042</v>
      </c>
      <c r="G82" s="91"/>
      <c r="H82" s="91"/>
      <c r="I82" s="91" t="s">
        <v>792</v>
      </c>
      <c r="J82" s="426"/>
      <c r="K82" s="426"/>
      <c r="L82" s="426"/>
      <c r="M82" s="91" t="s">
        <v>792</v>
      </c>
      <c r="N82" s="426"/>
      <c r="O82" s="426"/>
      <c r="P82" s="426"/>
      <c r="Q82" s="426"/>
      <c r="R82" s="426"/>
      <c r="S82" s="426"/>
      <c r="T82" s="426"/>
      <c r="U82" s="426"/>
      <c r="V82" s="426"/>
      <c r="W82" s="426"/>
      <c r="X82" s="426"/>
      <c r="Y82" s="426"/>
      <c r="Z82" s="426"/>
      <c r="AA82" s="426"/>
      <c r="AB82" s="426"/>
      <c r="AC82" s="426"/>
      <c r="AD82" s="426"/>
      <c r="AE82" s="426"/>
      <c r="AF82" s="426"/>
      <c r="AG82" s="426"/>
      <c r="AH82" s="426"/>
      <c r="AI82" s="426"/>
      <c r="AJ82" s="426"/>
      <c r="AK82" s="426"/>
      <c r="AL82" s="426"/>
      <c r="AM82" s="426"/>
      <c r="AN82" s="426"/>
      <c r="AO82" s="426"/>
      <c r="AP82" s="426"/>
      <c r="AQ82" s="426"/>
      <c r="AR82" s="91" t="s">
        <v>792</v>
      </c>
      <c r="AS82" s="426"/>
      <c r="AT82" s="426"/>
      <c r="AU82" s="426"/>
      <c r="AV82" s="91" t="s">
        <v>792</v>
      </c>
      <c r="AW82" s="426"/>
      <c r="AX82" s="426"/>
      <c r="AY82" s="426"/>
      <c r="AZ82" s="428"/>
    </row>
    <row r="83" spans="2:75" ht="14.4" hidden="1" outlineLevel="1" x14ac:dyDescent="0.3">
      <c r="B83" s="425">
        <f t="shared" si="1"/>
        <v>76</v>
      </c>
      <c r="C83" s="95" t="s">
        <v>456</v>
      </c>
      <c r="D83" s="429" t="s">
        <v>796</v>
      </c>
      <c r="E83" s="429" t="s">
        <v>797</v>
      </c>
      <c r="F83" s="429" t="s">
        <v>1042</v>
      </c>
      <c r="G83" s="91"/>
      <c r="H83" s="91"/>
      <c r="I83" s="91" t="s">
        <v>792</v>
      </c>
      <c r="J83" s="426"/>
      <c r="K83" s="426"/>
      <c r="L83" s="426"/>
      <c r="M83" s="91" t="s">
        <v>792</v>
      </c>
      <c r="N83" s="426"/>
      <c r="O83" s="426"/>
      <c r="P83" s="426"/>
      <c r="Q83" s="426"/>
      <c r="R83" s="426"/>
      <c r="S83" s="426"/>
      <c r="T83" s="426"/>
      <c r="U83" s="426"/>
      <c r="V83" s="426"/>
      <c r="W83" s="426"/>
      <c r="X83" s="426"/>
      <c r="Y83" s="426"/>
      <c r="Z83" s="426"/>
      <c r="AA83" s="426"/>
      <c r="AB83" s="426"/>
      <c r="AC83" s="426"/>
      <c r="AD83" s="426"/>
      <c r="AE83" s="426"/>
      <c r="AF83" s="426"/>
      <c r="AG83" s="426"/>
      <c r="AH83" s="426"/>
      <c r="AI83" s="426"/>
      <c r="AJ83" s="426"/>
      <c r="AK83" s="426"/>
      <c r="AL83" s="426"/>
      <c r="AM83" s="426"/>
      <c r="AN83" s="426"/>
      <c r="AO83" s="426"/>
      <c r="AP83" s="426"/>
      <c r="AQ83" s="426"/>
      <c r="AR83" s="91" t="s">
        <v>792</v>
      </c>
      <c r="AS83" s="426"/>
      <c r="AT83" s="426"/>
      <c r="AU83" s="426"/>
      <c r="AV83" s="91" t="s">
        <v>792</v>
      </c>
      <c r="AW83" s="426"/>
      <c r="AX83" s="426"/>
      <c r="AY83" s="426"/>
      <c r="AZ83" s="428"/>
    </row>
    <row r="84" spans="2:75" ht="14.4" hidden="1" outlineLevel="1" x14ac:dyDescent="0.3">
      <c r="B84" s="425">
        <f t="shared" si="1"/>
        <v>77</v>
      </c>
      <c r="C84" s="95" t="s">
        <v>456</v>
      </c>
      <c r="D84" s="429" t="s">
        <v>796</v>
      </c>
      <c r="E84" s="429" t="s">
        <v>797</v>
      </c>
      <c r="F84" s="429" t="s">
        <v>1042</v>
      </c>
      <c r="G84" s="91"/>
      <c r="H84" s="91"/>
      <c r="I84" s="91" t="s">
        <v>792</v>
      </c>
      <c r="J84" s="426"/>
      <c r="K84" s="426"/>
      <c r="L84" s="426"/>
      <c r="M84" s="91" t="s">
        <v>792</v>
      </c>
      <c r="N84" s="426"/>
      <c r="O84" s="426"/>
      <c r="P84" s="426"/>
      <c r="Q84" s="426"/>
      <c r="R84" s="426"/>
      <c r="S84" s="426"/>
      <c r="T84" s="426"/>
      <c r="U84" s="426"/>
      <c r="V84" s="426"/>
      <c r="W84" s="426"/>
      <c r="X84" s="426"/>
      <c r="Y84" s="426"/>
      <c r="Z84" s="426"/>
      <c r="AA84" s="426"/>
      <c r="AB84" s="426"/>
      <c r="AC84" s="426"/>
      <c r="AD84" s="426"/>
      <c r="AE84" s="426"/>
      <c r="AF84" s="426"/>
      <c r="AG84" s="426"/>
      <c r="AH84" s="426"/>
      <c r="AI84" s="426"/>
      <c r="AJ84" s="426"/>
      <c r="AK84" s="426"/>
      <c r="AL84" s="426"/>
      <c r="AM84" s="426"/>
      <c r="AN84" s="426"/>
      <c r="AO84" s="426"/>
      <c r="AP84" s="426"/>
      <c r="AQ84" s="426"/>
      <c r="AR84" s="91" t="s">
        <v>792</v>
      </c>
      <c r="AS84" s="426"/>
      <c r="AT84" s="426"/>
      <c r="AU84" s="426"/>
      <c r="AV84" s="91" t="s">
        <v>792</v>
      </c>
      <c r="AW84" s="426"/>
      <c r="AX84" s="426"/>
      <c r="AY84" s="426"/>
      <c r="AZ84" s="428"/>
    </row>
    <row r="85" spans="2:75" ht="14.4" hidden="1" outlineLevel="1" x14ac:dyDescent="0.3">
      <c r="B85" s="425">
        <f t="shared" si="1"/>
        <v>78</v>
      </c>
      <c r="C85" s="95" t="s">
        <v>456</v>
      </c>
      <c r="D85" s="429" t="s">
        <v>796</v>
      </c>
      <c r="E85" s="429" t="s">
        <v>797</v>
      </c>
      <c r="F85" s="429" t="s">
        <v>1042</v>
      </c>
      <c r="G85" s="91"/>
      <c r="H85" s="91"/>
      <c r="I85" s="91" t="s">
        <v>792</v>
      </c>
      <c r="J85" s="426"/>
      <c r="K85" s="426"/>
      <c r="L85" s="426"/>
      <c r="M85" s="91" t="s">
        <v>792</v>
      </c>
      <c r="N85" s="426"/>
      <c r="O85" s="426"/>
      <c r="P85" s="426"/>
      <c r="Q85" s="426"/>
      <c r="R85" s="426"/>
      <c r="S85" s="426"/>
      <c r="T85" s="426"/>
      <c r="U85" s="426"/>
      <c r="V85" s="426"/>
      <c r="W85" s="426"/>
      <c r="X85" s="426"/>
      <c r="Y85" s="426"/>
      <c r="Z85" s="426"/>
      <c r="AA85" s="426"/>
      <c r="AB85" s="426"/>
      <c r="AC85" s="426"/>
      <c r="AD85" s="426"/>
      <c r="AE85" s="426"/>
      <c r="AF85" s="426"/>
      <c r="AG85" s="426"/>
      <c r="AH85" s="426"/>
      <c r="AI85" s="426"/>
      <c r="AJ85" s="426"/>
      <c r="AK85" s="426"/>
      <c r="AL85" s="426"/>
      <c r="AM85" s="426"/>
      <c r="AN85" s="426"/>
      <c r="AO85" s="426"/>
      <c r="AP85" s="426"/>
      <c r="AQ85" s="426"/>
      <c r="AR85" s="91" t="s">
        <v>792</v>
      </c>
      <c r="AS85" s="426"/>
      <c r="AT85" s="426"/>
      <c r="AU85" s="426"/>
      <c r="AV85" s="91" t="s">
        <v>792</v>
      </c>
      <c r="AW85" s="426"/>
      <c r="AX85" s="426"/>
      <c r="AY85" s="426"/>
      <c r="AZ85" s="428"/>
    </row>
    <row r="86" spans="2:75" ht="14.4" hidden="1" outlineLevel="1" x14ac:dyDescent="0.3">
      <c r="B86" s="425">
        <f t="shared" si="1"/>
        <v>79</v>
      </c>
      <c r="C86" s="95" t="s">
        <v>456</v>
      </c>
      <c r="D86" s="429" t="s">
        <v>796</v>
      </c>
      <c r="E86" s="429" t="s">
        <v>797</v>
      </c>
      <c r="F86" s="429" t="s">
        <v>1042</v>
      </c>
      <c r="G86" s="91"/>
      <c r="H86" s="91"/>
      <c r="I86" s="91" t="s">
        <v>792</v>
      </c>
      <c r="J86" s="426"/>
      <c r="K86" s="426"/>
      <c r="L86" s="426"/>
      <c r="M86" s="91" t="s">
        <v>792</v>
      </c>
      <c r="N86" s="426"/>
      <c r="O86" s="426"/>
      <c r="P86" s="426"/>
      <c r="Q86" s="426"/>
      <c r="R86" s="426"/>
      <c r="S86" s="426"/>
      <c r="T86" s="426"/>
      <c r="U86" s="426"/>
      <c r="V86" s="426"/>
      <c r="W86" s="426"/>
      <c r="X86" s="426"/>
      <c r="Y86" s="426"/>
      <c r="Z86" s="426"/>
      <c r="AA86" s="426"/>
      <c r="AB86" s="426"/>
      <c r="AC86" s="426"/>
      <c r="AD86" s="426"/>
      <c r="AE86" s="426"/>
      <c r="AF86" s="426"/>
      <c r="AG86" s="426"/>
      <c r="AH86" s="426"/>
      <c r="AI86" s="426"/>
      <c r="AJ86" s="426"/>
      <c r="AK86" s="426"/>
      <c r="AL86" s="426"/>
      <c r="AM86" s="426"/>
      <c r="AN86" s="426"/>
      <c r="AO86" s="426"/>
      <c r="AP86" s="426"/>
      <c r="AQ86" s="426"/>
      <c r="AR86" s="91" t="s">
        <v>792</v>
      </c>
      <c r="AS86" s="426"/>
      <c r="AT86" s="426"/>
      <c r="AU86" s="426"/>
      <c r="AV86" s="91" t="s">
        <v>792</v>
      </c>
      <c r="AW86" s="426"/>
      <c r="AX86" s="426"/>
      <c r="AY86" s="426"/>
      <c r="AZ86" s="428"/>
    </row>
    <row r="87" spans="2:75" ht="14.4" hidden="1" outlineLevel="1" x14ac:dyDescent="0.3">
      <c r="B87" s="425">
        <f t="shared" si="1"/>
        <v>80</v>
      </c>
      <c r="C87" s="95" t="s">
        <v>456</v>
      </c>
      <c r="D87" s="429" t="s">
        <v>796</v>
      </c>
      <c r="E87" s="429" t="s">
        <v>797</v>
      </c>
      <c r="F87" s="429" t="s">
        <v>1042</v>
      </c>
      <c r="G87" s="91"/>
      <c r="H87" s="91"/>
      <c r="I87" s="91" t="s">
        <v>792</v>
      </c>
      <c r="J87" s="426"/>
      <c r="K87" s="426"/>
      <c r="L87" s="426"/>
      <c r="M87" s="91" t="s">
        <v>792</v>
      </c>
      <c r="N87" s="426"/>
      <c r="O87" s="426"/>
      <c r="P87" s="426"/>
      <c r="Q87" s="426"/>
      <c r="R87" s="426"/>
      <c r="S87" s="426"/>
      <c r="T87" s="426"/>
      <c r="U87" s="426"/>
      <c r="V87" s="426"/>
      <c r="W87" s="426"/>
      <c r="X87" s="426"/>
      <c r="Y87" s="426"/>
      <c r="Z87" s="426"/>
      <c r="AA87" s="426"/>
      <c r="AB87" s="426"/>
      <c r="AC87" s="426"/>
      <c r="AD87" s="426"/>
      <c r="AE87" s="426"/>
      <c r="AF87" s="426"/>
      <c r="AG87" s="426"/>
      <c r="AH87" s="426"/>
      <c r="AI87" s="426"/>
      <c r="AJ87" s="426"/>
      <c r="AK87" s="426"/>
      <c r="AL87" s="426"/>
      <c r="AM87" s="426"/>
      <c r="AN87" s="426"/>
      <c r="AO87" s="426"/>
      <c r="AP87" s="426"/>
      <c r="AQ87" s="426"/>
      <c r="AR87" s="91" t="s">
        <v>792</v>
      </c>
      <c r="AS87" s="426"/>
      <c r="AT87" s="426"/>
      <c r="AU87" s="426"/>
      <c r="AV87" s="91" t="s">
        <v>792</v>
      </c>
      <c r="AW87" s="426"/>
      <c r="AX87" s="426"/>
      <c r="AY87" s="426"/>
      <c r="AZ87" s="428"/>
    </row>
    <row r="88" spans="2:75" ht="14.4" hidden="1" outlineLevel="1" x14ac:dyDescent="0.3">
      <c r="B88" s="425">
        <f t="shared" si="1"/>
        <v>81</v>
      </c>
      <c r="C88" s="95" t="s">
        <v>456</v>
      </c>
      <c r="D88" s="429" t="s">
        <v>796</v>
      </c>
      <c r="E88" s="429" t="s">
        <v>797</v>
      </c>
      <c r="F88" s="429" t="s">
        <v>1042</v>
      </c>
      <c r="G88" s="91"/>
      <c r="H88" s="91"/>
      <c r="I88" s="91" t="s">
        <v>792</v>
      </c>
      <c r="J88" s="426"/>
      <c r="K88" s="426"/>
      <c r="L88" s="426"/>
      <c r="M88" s="91" t="s">
        <v>792</v>
      </c>
      <c r="N88" s="426"/>
      <c r="O88" s="426"/>
      <c r="P88" s="426"/>
      <c r="Q88" s="426"/>
      <c r="R88" s="426"/>
      <c r="S88" s="426"/>
      <c r="T88" s="426"/>
      <c r="U88" s="426"/>
      <c r="V88" s="426"/>
      <c r="W88" s="426"/>
      <c r="X88" s="426"/>
      <c r="Y88" s="426"/>
      <c r="Z88" s="426"/>
      <c r="AA88" s="426"/>
      <c r="AB88" s="426"/>
      <c r="AC88" s="426"/>
      <c r="AD88" s="426"/>
      <c r="AE88" s="426"/>
      <c r="AF88" s="426"/>
      <c r="AG88" s="426"/>
      <c r="AH88" s="426"/>
      <c r="AI88" s="426"/>
      <c r="AJ88" s="426"/>
      <c r="AK88" s="426"/>
      <c r="AL88" s="426"/>
      <c r="AM88" s="426"/>
      <c r="AN88" s="426"/>
      <c r="AO88" s="426"/>
      <c r="AP88" s="426"/>
      <c r="AQ88" s="426"/>
      <c r="AR88" s="91" t="s">
        <v>792</v>
      </c>
      <c r="AS88" s="426"/>
      <c r="AT88" s="426"/>
      <c r="AU88" s="426"/>
      <c r="AV88" s="91" t="s">
        <v>792</v>
      </c>
      <c r="AW88" s="426"/>
      <c r="AX88" s="426"/>
      <c r="AY88" s="426"/>
      <c r="AZ88" s="428"/>
    </row>
    <row r="89" spans="2:75" ht="14.4" hidden="1" outlineLevel="1" x14ac:dyDescent="0.3">
      <c r="B89" s="425">
        <f t="shared" si="1"/>
        <v>82</v>
      </c>
      <c r="C89" s="95" t="s">
        <v>456</v>
      </c>
      <c r="D89" s="429" t="s">
        <v>796</v>
      </c>
      <c r="E89" s="429" t="s">
        <v>797</v>
      </c>
      <c r="F89" s="429" t="s">
        <v>1042</v>
      </c>
      <c r="G89" s="91"/>
      <c r="H89" s="91"/>
      <c r="I89" s="91" t="s">
        <v>792</v>
      </c>
      <c r="J89" s="426"/>
      <c r="K89" s="426"/>
      <c r="L89" s="426"/>
      <c r="M89" s="91" t="s">
        <v>792</v>
      </c>
      <c r="N89" s="426"/>
      <c r="O89" s="426"/>
      <c r="P89" s="426"/>
      <c r="Q89" s="426"/>
      <c r="R89" s="426"/>
      <c r="S89" s="426"/>
      <c r="T89" s="426"/>
      <c r="U89" s="426"/>
      <c r="V89" s="426"/>
      <c r="W89" s="426"/>
      <c r="X89" s="426"/>
      <c r="Y89" s="426"/>
      <c r="Z89" s="426"/>
      <c r="AA89" s="426"/>
      <c r="AB89" s="426"/>
      <c r="AC89" s="426"/>
      <c r="AD89" s="426"/>
      <c r="AE89" s="426"/>
      <c r="AF89" s="426"/>
      <c r="AG89" s="426"/>
      <c r="AH89" s="426"/>
      <c r="AI89" s="426"/>
      <c r="AJ89" s="426"/>
      <c r="AK89" s="426"/>
      <c r="AL89" s="426"/>
      <c r="AM89" s="426"/>
      <c r="AN89" s="426"/>
      <c r="AO89" s="426"/>
      <c r="AP89" s="426"/>
      <c r="AQ89" s="426"/>
      <c r="AR89" s="91" t="s">
        <v>792</v>
      </c>
      <c r="AS89" s="426"/>
      <c r="AT89" s="426"/>
      <c r="AU89" s="426"/>
      <c r="AV89" s="91" t="s">
        <v>792</v>
      </c>
      <c r="AW89" s="426"/>
      <c r="AX89" s="426"/>
      <c r="AY89" s="426"/>
      <c r="AZ89" s="428"/>
    </row>
    <row r="90" spans="2:75" ht="14.4" hidden="1" outlineLevel="1" x14ac:dyDescent="0.3">
      <c r="B90" s="425">
        <f t="shared" si="1"/>
        <v>83</v>
      </c>
      <c r="C90" s="95" t="s">
        <v>456</v>
      </c>
      <c r="D90" s="429" t="s">
        <v>796</v>
      </c>
      <c r="E90" s="429" t="s">
        <v>797</v>
      </c>
      <c r="F90" s="429" t="s">
        <v>1042</v>
      </c>
      <c r="G90" s="91"/>
      <c r="H90" s="91"/>
      <c r="I90" s="91" t="s">
        <v>792</v>
      </c>
      <c r="J90" s="426"/>
      <c r="K90" s="426"/>
      <c r="L90" s="426"/>
      <c r="M90" s="91" t="s">
        <v>792</v>
      </c>
      <c r="N90" s="426"/>
      <c r="O90" s="426"/>
      <c r="P90" s="426"/>
      <c r="Q90" s="426"/>
      <c r="R90" s="426"/>
      <c r="S90" s="426"/>
      <c r="T90" s="426"/>
      <c r="U90" s="426"/>
      <c r="V90" s="426"/>
      <c r="W90" s="426"/>
      <c r="X90" s="426"/>
      <c r="Y90" s="426"/>
      <c r="Z90" s="426"/>
      <c r="AA90" s="426"/>
      <c r="AB90" s="426"/>
      <c r="AC90" s="426"/>
      <c r="AD90" s="426"/>
      <c r="AE90" s="426"/>
      <c r="AF90" s="426"/>
      <c r="AG90" s="426"/>
      <c r="AH90" s="426"/>
      <c r="AI90" s="426"/>
      <c r="AJ90" s="426"/>
      <c r="AK90" s="426"/>
      <c r="AL90" s="426"/>
      <c r="AM90" s="426"/>
      <c r="AN90" s="426"/>
      <c r="AO90" s="426"/>
      <c r="AP90" s="426"/>
      <c r="AQ90" s="426"/>
      <c r="AR90" s="91" t="s">
        <v>792</v>
      </c>
      <c r="AS90" s="426"/>
      <c r="AT90" s="426"/>
      <c r="AU90" s="426"/>
      <c r="AV90" s="91" t="s">
        <v>792</v>
      </c>
      <c r="AW90" s="426"/>
      <c r="AX90" s="426"/>
      <c r="AY90" s="426"/>
      <c r="AZ90" s="428"/>
    </row>
    <row r="91" spans="2:75" ht="14.4" hidden="1" outlineLevel="1" x14ac:dyDescent="0.3">
      <c r="B91" s="425">
        <f t="shared" si="1"/>
        <v>84</v>
      </c>
      <c r="C91" s="95" t="s">
        <v>456</v>
      </c>
      <c r="D91" s="429" t="s">
        <v>796</v>
      </c>
      <c r="E91" s="429" t="s">
        <v>797</v>
      </c>
      <c r="F91" s="429" t="s">
        <v>1042</v>
      </c>
      <c r="G91" s="91"/>
      <c r="H91" s="91"/>
      <c r="I91" s="91" t="s">
        <v>792</v>
      </c>
      <c r="J91" s="426"/>
      <c r="K91" s="426"/>
      <c r="L91" s="426"/>
      <c r="M91" s="91" t="s">
        <v>792</v>
      </c>
      <c r="N91" s="426"/>
      <c r="O91" s="426"/>
      <c r="P91" s="426"/>
      <c r="Q91" s="426"/>
      <c r="R91" s="426"/>
      <c r="S91" s="426"/>
      <c r="T91" s="426"/>
      <c r="U91" s="426"/>
      <c r="V91" s="426"/>
      <c r="W91" s="426"/>
      <c r="X91" s="426"/>
      <c r="Y91" s="426"/>
      <c r="Z91" s="426"/>
      <c r="AA91" s="426"/>
      <c r="AB91" s="426"/>
      <c r="AC91" s="426"/>
      <c r="AD91" s="426"/>
      <c r="AE91" s="426"/>
      <c r="AF91" s="426"/>
      <c r="AG91" s="426"/>
      <c r="AH91" s="426"/>
      <c r="AI91" s="426"/>
      <c r="AJ91" s="426"/>
      <c r="AK91" s="426"/>
      <c r="AL91" s="426"/>
      <c r="AM91" s="426"/>
      <c r="AN91" s="426"/>
      <c r="AO91" s="426"/>
      <c r="AP91" s="426"/>
      <c r="AQ91" s="426"/>
      <c r="AR91" s="91" t="s">
        <v>792</v>
      </c>
      <c r="AS91" s="426"/>
      <c r="AT91" s="426"/>
      <c r="AU91" s="426"/>
      <c r="AV91" s="91" t="s">
        <v>792</v>
      </c>
      <c r="AW91" s="426"/>
      <c r="AX91" s="426"/>
      <c r="AY91" s="426"/>
      <c r="AZ91" s="428"/>
    </row>
    <row r="92" spans="2:75" ht="14.4" hidden="1" x14ac:dyDescent="0.3">
      <c r="B92" s="425">
        <f t="shared" si="1"/>
        <v>85</v>
      </c>
      <c r="C92" s="95" t="s">
        <v>456</v>
      </c>
      <c r="D92" s="429" t="s">
        <v>796</v>
      </c>
      <c r="E92" s="429" t="s">
        <v>797</v>
      </c>
      <c r="F92" s="429" t="s">
        <v>1042</v>
      </c>
      <c r="G92" s="91"/>
      <c r="H92" s="91"/>
      <c r="I92" s="91" t="s">
        <v>792</v>
      </c>
      <c r="J92" s="426"/>
      <c r="K92" s="426"/>
      <c r="L92" s="426"/>
      <c r="M92" s="91" t="s">
        <v>792</v>
      </c>
      <c r="N92" s="426"/>
      <c r="O92" s="426"/>
      <c r="P92" s="426"/>
      <c r="Q92" s="426"/>
      <c r="R92" s="426"/>
      <c r="S92" s="426"/>
      <c r="T92" s="426"/>
      <c r="U92" s="426"/>
      <c r="V92" s="426"/>
      <c r="W92" s="426"/>
      <c r="X92" s="426"/>
      <c r="Y92" s="426"/>
      <c r="Z92" s="426"/>
      <c r="AA92" s="426"/>
      <c r="AB92" s="426"/>
      <c r="AC92" s="426"/>
      <c r="AD92" s="426"/>
      <c r="AE92" s="426"/>
      <c r="AF92" s="426"/>
      <c r="AG92" s="426"/>
      <c r="AH92" s="426"/>
      <c r="AI92" s="426"/>
      <c r="AJ92" s="426"/>
      <c r="AK92" s="426"/>
      <c r="AL92" s="426"/>
      <c r="AM92" s="426"/>
      <c r="AN92" s="426"/>
      <c r="AO92" s="426"/>
      <c r="AP92" s="426"/>
      <c r="AQ92" s="426"/>
      <c r="AR92" s="91" t="s">
        <v>792</v>
      </c>
      <c r="AS92" s="426"/>
      <c r="AT92" s="426"/>
      <c r="AU92" s="426"/>
      <c r="AV92" s="91" t="s">
        <v>792</v>
      </c>
      <c r="AW92" s="426"/>
      <c r="AX92" s="426"/>
      <c r="AY92" s="426"/>
      <c r="AZ92" s="428"/>
    </row>
    <row r="93" spans="2:75" ht="12" x14ac:dyDescent="0.2">
      <c r="C93" s="129" t="s">
        <v>1043</v>
      </c>
      <c r="D93" s="103"/>
      <c r="E93" s="103"/>
      <c r="F93" s="103"/>
      <c r="AS93" s="103"/>
      <c r="AT93" s="103"/>
      <c r="AU93" s="103"/>
      <c r="AV93" s="103"/>
      <c r="AW93" s="103"/>
      <c r="AX93" s="103"/>
      <c r="AY93" s="103"/>
      <c r="AZ93" s="103"/>
      <c r="BA93" s="103"/>
      <c r="BB93" s="103"/>
      <c r="BC93" s="103"/>
      <c r="BD93" s="103"/>
      <c r="BE93" s="103"/>
      <c r="BF93" s="103"/>
      <c r="BG93" s="103"/>
      <c r="BH93" s="103"/>
      <c r="BI93" s="103"/>
      <c r="BJ93" s="103"/>
      <c r="BK93" s="103"/>
      <c r="BL93" s="103"/>
      <c r="BM93" s="103"/>
      <c r="BN93" s="103"/>
      <c r="BO93" s="103"/>
      <c r="BP93" s="103"/>
      <c r="BQ93" s="103"/>
      <c r="BR93" s="103"/>
      <c r="BS93" s="103"/>
      <c r="BT93" s="103"/>
      <c r="BU93" s="103"/>
      <c r="BV93" s="103"/>
      <c r="BW93" s="103"/>
    </row>
    <row r="94" spans="2:75" x14ac:dyDescent="0.2">
      <c r="C94" t="s">
        <v>798</v>
      </c>
      <c r="AS94" s="103"/>
      <c r="AT94" s="103"/>
      <c r="AU94" s="103"/>
      <c r="AV94" s="103"/>
      <c r="AW94" s="103"/>
      <c r="AX94" s="103"/>
      <c r="AY94" s="103"/>
      <c r="AZ94" s="103"/>
      <c r="BA94" s="103"/>
      <c r="BB94" s="103"/>
      <c r="BC94" s="103"/>
      <c r="BD94" s="103"/>
      <c r="BE94" s="103"/>
      <c r="BF94" s="103"/>
      <c r="BG94" s="103"/>
      <c r="BH94" s="103"/>
      <c r="BI94" s="103"/>
      <c r="BJ94" s="103"/>
      <c r="BK94" s="103"/>
      <c r="BL94" s="103"/>
      <c r="BM94" s="103"/>
      <c r="BN94" s="103"/>
      <c r="BO94" s="103"/>
      <c r="BP94" s="103"/>
      <c r="BQ94" s="103"/>
      <c r="BR94" s="103"/>
      <c r="BS94" s="103"/>
      <c r="BT94" s="103"/>
      <c r="BU94" s="103"/>
      <c r="BV94" s="103"/>
      <c r="BW94" s="103"/>
    </row>
    <row r="95" spans="2:75" x14ac:dyDescent="0.2">
      <c r="C95" s="252" t="s">
        <v>799</v>
      </c>
    </row>
    <row r="96" spans="2:75" x14ac:dyDescent="0.2">
      <c r="C96" s="252"/>
    </row>
    <row r="97" spans="2:52" x14ac:dyDescent="0.2">
      <c r="C97" s="252"/>
    </row>
    <row r="98" spans="2:52" ht="15.6" x14ac:dyDescent="0.2">
      <c r="C98" s="9" t="s">
        <v>758</v>
      </c>
      <c r="D98" s="252"/>
      <c r="E98" s="415">
        <v>2025</v>
      </c>
    </row>
    <row r="99" spans="2:52" x14ac:dyDescent="0.2">
      <c r="C99" s="96" t="s">
        <v>759</v>
      </c>
    </row>
    <row r="100" spans="2:52" ht="52.2" customHeight="1" x14ac:dyDescent="0.2">
      <c r="C100" s="538" t="s">
        <v>1034</v>
      </c>
      <c r="D100" s="538"/>
      <c r="E100" s="538"/>
      <c r="F100" s="539"/>
      <c r="G100" s="416">
        <v>2025</v>
      </c>
      <c r="H100" s="417"/>
      <c r="I100" s="417"/>
      <c r="J100" s="417"/>
      <c r="K100" s="417"/>
      <c r="L100" s="417"/>
      <c r="M100" s="417"/>
      <c r="N100" s="417"/>
      <c r="O100" s="417"/>
      <c r="P100" s="417"/>
      <c r="Q100" s="417"/>
      <c r="R100" s="417"/>
      <c r="S100" s="417"/>
      <c r="T100" s="417"/>
      <c r="U100" s="417"/>
      <c r="V100" s="417"/>
      <c r="W100" s="417"/>
      <c r="X100" s="417"/>
      <c r="Y100" s="417"/>
      <c r="Z100" s="417"/>
      <c r="AA100" s="417"/>
      <c r="AB100" s="417"/>
      <c r="AC100" s="417"/>
      <c r="AD100" s="417"/>
      <c r="AE100" s="417"/>
      <c r="AF100" s="417"/>
      <c r="AG100" s="417"/>
      <c r="AH100" s="417"/>
      <c r="AI100" s="417"/>
      <c r="AJ100" s="417"/>
      <c r="AK100" s="417"/>
      <c r="AL100" s="417"/>
      <c r="AM100" s="417"/>
      <c r="AN100" s="417"/>
      <c r="AO100" s="417"/>
      <c r="AP100" s="417"/>
      <c r="AQ100" s="417"/>
      <c r="AR100" s="417"/>
      <c r="AS100" s="417"/>
      <c r="AT100" s="417"/>
      <c r="AU100" s="417"/>
      <c r="AV100" s="417"/>
      <c r="AW100" s="417"/>
      <c r="AX100" s="417"/>
      <c r="AY100" s="417"/>
      <c r="AZ100" s="417"/>
    </row>
    <row r="101" spans="2:52" ht="72" x14ac:dyDescent="0.2">
      <c r="C101" s="418" t="s">
        <v>456</v>
      </c>
      <c r="D101" s="418" t="s">
        <v>457</v>
      </c>
      <c r="E101" s="419" t="s">
        <v>458</v>
      </c>
      <c r="F101" s="430" t="s">
        <v>760</v>
      </c>
      <c r="G101" s="431" t="s">
        <v>380</v>
      </c>
      <c r="H101" s="432" t="s">
        <v>761</v>
      </c>
      <c r="I101" s="421" t="s">
        <v>762</v>
      </c>
      <c r="J101" s="422" t="s">
        <v>767</v>
      </c>
      <c r="K101" s="423" t="s">
        <v>768</v>
      </c>
      <c r="L101" s="424" t="s">
        <v>765</v>
      </c>
      <c r="M101" s="421" t="s">
        <v>766</v>
      </c>
      <c r="N101" s="422" t="s">
        <v>767</v>
      </c>
      <c r="O101" s="423" t="s">
        <v>768</v>
      </c>
      <c r="P101" s="424" t="s">
        <v>765</v>
      </c>
      <c r="Q101" s="422" t="s">
        <v>769</v>
      </c>
      <c r="R101" s="423" t="s">
        <v>770</v>
      </c>
      <c r="S101" s="424" t="s">
        <v>765</v>
      </c>
      <c r="T101" s="422" t="s">
        <v>771</v>
      </c>
      <c r="U101" s="423" t="s">
        <v>772</v>
      </c>
      <c r="V101" s="424" t="s">
        <v>765</v>
      </c>
      <c r="W101" s="422" t="s">
        <v>773</v>
      </c>
      <c r="X101" s="423" t="s">
        <v>774</v>
      </c>
      <c r="Y101" s="424" t="s">
        <v>765</v>
      </c>
      <c r="Z101" s="422" t="s">
        <v>1009</v>
      </c>
      <c r="AA101" s="423" t="s">
        <v>1010</v>
      </c>
      <c r="AB101" s="424" t="s">
        <v>765</v>
      </c>
      <c r="AC101" s="422" t="s">
        <v>775</v>
      </c>
      <c r="AD101" s="423" t="s">
        <v>776</v>
      </c>
      <c r="AE101" s="424" t="s">
        <v>765</v>
      </c>
      <c r="AF101" s="422" t="s">
        <v>777</v>
      </c>
      <c r="AG101" s="423" t="s">
        <v>778</v>
      </c>
      <c r="AH101" s="424" t="s">
        <v>765</v>
      </c>
      <c r="AI101" s="422" t="s">
        <v>779</v>
      </c>
      <c r="AJ101" s="423" t="s">
        <v>780</v>
      </c>
      <c r="AK101" s="424" t="s">
        <v>765</v>
      </c>
      <c r="AL101" s="422" t="s">
        <v>781</v>
      </c>
      <c r="AM101" s="423" t="s">
        <v>782</v>
      </c>
      <c r="AN101" s="424" t="s">
        <v>765</v>
      </c>
      <c r="AO101" s="422" t="s">
        <v>783</v>
      </c>
      <c r="AP101" s="423" t="s">
        <v>784</v>
      </c>
      <c r="AQ101" s="424" t="s">
        <v>765</v>
      </c>
      <c r="AR101" s="422" t="s">
        <v>785</v>
      </c>
      <c r="AS101" s="423" t="s">
        <v>786</v>
      </c>
      <c r="AT101" s="423" t="s">
        <v>787</v>
      </c>
      <c r="AU101" s="424" t="s">
        <v>765</v>
      </c>
      <c r="AV101" s="422" t="s">
        <v>1044</v>
      </c>
      <c r="AW101" s="423" t="s">
        <v>788</v>
      </c>
      <c r="AX101" s="423" t="s">
        <v>789</v>
      </c>
      <c r="AY101" s="423" t="s">
        <v>790</v>
      </c>
      <c r="AZ101" s="424" t="s">
        <v>765</v>
      </c>
    </row>
    <row r="102" spans="2:52" ht="14.4" x14ac:dyDescent="0.3">
      <c r="B102" s="425">
        <v>1</v>
      </c>
      <c r="C102" s="95" t="s">
        <v>166</v>
      </c>
      <c r="D102" s="429" t="s">
        <v>350</v>
      </c>
      <c r="E102" s="429" t="s">
        <v>794</v>
      </c>
      <c r="F102" s="429" t="s">
        <v>677</v>
      </c>
      <c r="G102" s="427">
        <v>210.24</v>
      </c>
      <c r="H102" s="485">
        <v>249</v>
      </c>
      <c r="I102" s="585" t="s">
        <v>792</v>
      </c>
      <c r="J102" s="426"/>
      <c r="K102" s="426"/>
      <c r="L102" s="426"/>
      <c r="M102" s="585" t="s">
        <v>792</v>
      </c>
      <c r="N102" s="426"/>
      <c r="O102" s="426"/>
      <c r="P102" s="426"/>
      <c r="Q102" s="426"/>
      <c r="R102" s="426"/>
      <c r="S102" s="426"/>
      <c r="T102" s="426"/>
      <c r="U102" s="426"/>
      <c r="V102" s="426"/>
      <c r="W102" s="426"/>
      <c r="X102" s="426"/>
      <c r="Y102" s="426"/>
      <c r="Z102" s="426"/>
      <c r="AA102" s="426"/>
      <c r="AB102" s="426"/>
      <c r="AC102" s="426"/>
      <c r="AD102" s="426"/>
      <c r="AE102" s="426"/>
      <c r="AF102" s="426"/>
      <c r="AG102" s="426"/>
      <c r="AH102" s="426"/>
      <c r="AI102" s="426"/>
      <c r="AJ102" s="426"/>
      <c r="AK102" s="426"/>
      <c r="AL102" s="426"/>
      <c r="AM102" s="426"/>
      <c r="AN102" s="426"/>
      <c r="AO102" s="426"/>
      <c r="AP102" s="426"/>
      <c r="AQ102" s="426"/>
      <c r="AR102" s="585" t="s">
        <v>792</v>
      </c>
      <c r="AS102" s="426"/>
      <c r="AT102" s="426"/>
      <c r="AU102" s="426"/>
      <c r="AV102" s="585" t="s">
        <v>792</v>
      </c>
      <c r="AW102" s="426"/>
      <c r="AX102" s="426"/>
      <c r="AY102" s="426"/>
      <c r="AZ102" s="428"/>
    </row>
    <row r="103" spans="2:52" ht="14.4" x14ac:dyDescent="0.3">
      <c r="B103" s="425">
        <f>1+B102</f>
        <v>2</v>
      </c>
      <c r="C103" s="95" t="s">
        <v>169</v>
      </c>
      <c r="D103" s="429" t="s">
        <v>350</v>
      </c>
      <c r="E103" s="429" t="s">
        <v>794</v>
      </c>
      <c r="F103" s="429" t="s">
        <v>677</v>
      </c>
      <c r="G103" s="91">
        <v>244.01</v>
      </c>
      <c r="H103" s="486">
        <v>289</v>
      </c>
      <c r="I103" s="585" t="s">
        <v>792</v>
      </c>
      <c r="J103" s="426"/>
      <c r="K103" s="426"/>
      <c r="L103" s="426"/>
      <c r="M103" s="585" t="s">
        <v>792</v>
      </c>
      <c r="N103" s="426"/>
      <c r="O103" s="426"/>
      <c r="P103" s="426"/>
      <c r="Q103" s="426"/>
      <c r="R103" s="426"/>
      <c r="S103" s="426"/>
      <c r="T103" s="426"/>
      <c r="U103" s="426"/>
      <c r="V103" s="426"/>
      <c r="W103" s="426"/>
      <c r="X103" s="426"/>
      <c r="Y103" s="426"/>
      <c r="Z103" s="426"/>
      <c r="AA103" s="426"/>
      <c r="AB103" s="426"/>
      <c r="AC103" s="426"/>
      <c r="AD103" s="426"/>
      <c r="AE103" s="426"/>
      <c r="AF103" s="426"/>
      <c r="AG103" s="426"/>
      <c r="AH103" s="426"/>
      <c r="AI103" s="426"/>
      <c r="AJ103" s="426"/>
      <c r="AK103" s="426"/>
      <c r="AL103" s="426"/>
      <c r="AM103" s="426"/>
      <c r="AN103" s="426"/>
      <c r="AO103" s="426"/>
      <c r="AP103" s="426"/>
      <c r="AQ103" s="426"/>
      <c r="AR103" s="585" t="s">
        <v>792</v>
      </c>
      <c r="AS103" s="426"/>
      <c r="AT103" s="426"/>
      <c r="AU103" s="426"/>
      <c r="AV103" s="585" t="s">
        <v>792</v>
      </c>
      <c r="AW103" s="426"/>
      <c r="AX103" s="426"/>
      <c r="AY103" s="426"/>
      <c r="AZ103" s="428"/>
    </row>
    <row r="104" spans="2:52" ht="14.4" x14ac:dyDescent="0.3">
      <c r="B104" s="425">
        <f t="shared" ref="B104:B167" si="2">1+B103</f>
        <v>3</v>
      </c>
      <c r="C104" s="95" t="s">
        <v>173</v>
      </c>
      <c r="D104" s="429" t="s">
        <v>350</v>
      </c>
      <c r="E104" s="429" t="s">
        <v>794</v>
      </c>
      <c r="F104" s="429" t="s">
        <v>677</v>
      </c>
      <c r="G104" s="91">
        <v>281.16000000000003</v>
      </c>
      <c r="H104" s="486">
        <v>333</v>
      </c>
      <c r="I104" s="585" t="s">
        <v>792</v>
      </c>
      <c r="J104" s="426"/>
      <c r="K104" s="426"/>
      <c r="L104" s="426"/>
      <c r="M104" s="585" t="s">
        <v>792</v>
      </c>
      <c r="N104" s="426"/>
      <c r="O104" s="426"/>
      <c r="P104" s="426"/>
      <c r="Q104" s="426"/>
      <c r="R104" s="426"/>
      <c r="S104" s="426"/>
      <c r="T104" s="426"/>
      <c r="U104" s="426"/>
      <c r="V104" s="426"/>
      <c r="W104" s="426"/>
      <c r="X104" s="426"/>
      <c r="Y104" s="426"/>
      <c r="Z104" s="426"/>
      <c r="AA104" s="426"/>
      <c r="AB104" s="426"/>
      <c r="AC104" s="426"/>
      <c r="AD104" s="426"/>
      <c r="AE104" s="426"/>
      <c r="AF104" s="426"/>
      <c r="AG104" s="426"/>
      <c r="AH104" s="426"/>
      <c r="AI104" s="426"/>
      <c r="AJ104" s="426"/>
      <c r="AK104" s="426"/>
      <c r="AL104" s="426"/>
      <c r="AM104" s="426"/>
      <c r="AN104" s="426"/>
      <c r="AO104" s="426"/>
      <c r="AP104" s="426"/>
      <c r="AQ104" s="426"/>
      <c r="AR104" s="585" t="s">
        <v>792</v>
      </c>
      <c r="AS104" s="426"/>
      <c r="AT104" s="426"/>
      <c r="AU104" s="426"/>
      <c r="AV104" s="585" t="s">
        <v>792</v>
      </c>
      <c r="AW104" s="426"/>
      <c r="AX104" s="426"/>
      <c r="AY104" s="426"/>
      <c r="AZ104" s="428"/>
    </row>
    <row r="105" spans="2:52" ht="14.4" x14ac:dyDescent="0.3">
      <c r="B105" s="425">
        <f t="shared" si="2"/>
        <v>4</v>
      </c>
      <c r="C105" s="95" t="s">
        <v>176</v>
      </c>
      <c r="D105" s="429" t="s">
        <v>350</v>
      </c>
      <c r="E105" s="429" t="s">
        <v>794</v>
      </c>
      <c r="F105" s="429" t="s">
        <v>677</v>
      </c>
      <c r="G105" s="91">
        <v>328.44</v>
      </c>
      <c r="H105" s="486">
        <v>389</v>
      </c>
      <c r="I105" s="585" t="s">
        <v>792</v>
      </c>
      <c r="J105" s="426"/>
      <c r="K105" s="426"/>
      <c r="L105" s="426"/>
      <c r="M105" s="585" t="s">
        <v>792</v>
      </c>
      <c r="N105" s="426"/>
      <c r="O105" s="426"/>
      <c r="P105" s="426"/>
      <c r="Q105" s="426"/>
      <c r="R105" s="426"/>
      <c r="S105" s="426"/>
      <c r="T105" s="426"/>
      <c r="U105" s="426"/>
      <c r="V105" s="426"/>
      <c r="W105" s="426"/>
      <c r="X105" s="426"/>
      <c r="Y105" s="426"/>
      <c r="Z105" s="426"/>
      <c r="AA105" s="426"/>
      <c r="AB105" s="426"/>
      <c r="AC105" s="426"/>
      <c r="AD105" s="426"/>
      <c r="AE105" s="426"/>
      <c r="AF105" s="426"/>
      <c r="AG105" s="426"/>
      <c r="AH105" s="426"/>
      <c r="AI105" s="426"/>
      <c r="AJ105" s="426"/>
      <c r="AK105" s="426"/>
      <c r="AL105" s="426"/>
      <c r="AM105" s="426"/>
      <c r="AN105" s="426"/>
      <c r="AO105" s="426"/>
      <c r="AP105" s="426"/>
      <c r="AQ105" s="426"/>
      <c r="AR105" s="585" t="s">
        <v>792</v>
      </c>
      <c r="AS105" s="426"/>
      <c r="AT105" s="426"/>
      <c r="AU105" s="426"/>
      <c r="AV105" s="585" t="s">
        <v>792</v>
      </c>
      <c r="AW105" s="426"/>
      <c r="AX105" s="426"/>
      <c r="AY105" s="426"/>
      <c r="AZ105" s="428"/>
    </row>
    <row r="106" spans="2:52" ht="14.4" x14ac:dyDescent="0.3">
      <c r="B106" s="425">
        <f t="shared" si="2"/>
        <v>5</v>
      </c>
      <c r="C106" s="95" t="s">
        <v>179</v>
      </c>
      <c r="D106" s="429" t="s">
        <v>350</v>
      </c>
      <c r="E106" s="429" t="s">
        <v>794</v>
      </c>
      <c r="F106" s="429" t="s">
        <v>677</v>
      </c>
      <c r="G106" s="91">
        <v>367.29</v>
      </c>
      <c r="H106" s="486">
        <v>435</v>
      </c>
      <c r="I106" s="585" t="s">
        <v>792</v>
      </c>
      <c r="J106" s="426"/>
      <c r="K106" s="426"/>
      <c r="L106" s="426"/>
      <c r="M106" s="585" t="s">
        <v>792</v>
      </c>
      <c r="N106" s="426"/>
      <c r="O106" s="426"/>
      <c r="P106" s="426"/>
      <c r="Q106" s="426"/>
      <c r="R106" s="426"/>
      <c r="S106" s="426"/>
      <c r="T106" s="426"/>
      <c r="U106" s="426"/>
      <c r="V106" s="426"/>
      <c r="W106" s="426"/>
      <c r="X106" s="426"/>
      <c r="Y106" s="426"/>
      <c r="Z106" s="426"/>
      <c r="AA106" s="426"/>
      <c r="AB106" s="426"/>
      <c r="AC106" s="426"/>
      <c r="AD106" s="426"/>
      <c r="AE106" s="426"/>
      <c r="AF106" s="426"/>
      <c r="AG106" s="426"/>
      <c r="AH106" s="426"/>
      <c r="AI106" s="426"/>
      <c r="AJ106" s="426"/>
      <c r="AK106" s="426"/>
      <c r="AL106" s="426"/>
      <c r="AM106" s="426"/>
      <c r="AN106" s="426"/>
      <c r="AO106" s="426"/>
      <c r="AP106" s="426"/>
      <c r="AQ106" s="426"/>
      <c r="AR106" s="585" t="s">
        <v>792</v>
      </c>
      <c r="AS106" s="426"/>
      <c r="AT106" s="426"/>
      <c r="AU106" s="426"/>
      <c r="AV106" s="585" t="s">
        <v>792</v>
      </c>
      <c r="AW106" s="426"/>
      <c r="AX106" s="426"/>
      <c r="AY106" s="426"/>
      <c r="AZ106" s="428"/>
    </row>
    <row r="107" spans="2:52" ht="14.4" x14ac:dyDescent="0.3">
      <c r="B107" s="425">
        <f t="shared" si="2"/>
        <v>6</v>
      </c>
      <c r="C107" s="95" t="s">
        <v>181</v>
      </c>
      <c r="D107" s="429" t="s">
        <v>350</v>
      </c>
      <c r="E107" s="429" t="s">
        <v>794</v>
      </c>
      <c r="F107" s="429" t="s">
        <v>677</v>
      </c>
      <c r="G107" s="91">
        <v>421.32</v>
      </c>
      <c r="H107" s="486">
        <v>499</v>
      </c>
      <c r="I107" s="585" t="s">
        <v>792</v>
      </c>
      <c r="J107" s="426"/>
      <c r="K107" s="426"/>
      <c r="L107" s="426"/>
      <c r="M107" s="585" t="s">
        <v>792</v>
      </c>
      <c r="N107" s="426"/>
      <c r="O107" s="426"/>
      <c r="P107" s="426"/>
      <c r="Q107" s="426"/>
      <c r="R107" s="426"/>
      <c r="S107" s="426"/>
      <c r="T107" s="426"/>
      <c r="U107" s="426"/>
      <c r="V107" s="426"/>
      <c r="W107" s="426"/>
      <c r="X107" s="426"/>
      <c r="Y107" s="426"/>
      <c r="Z107" s="426"/>
      <c r="AA107" s="426"/>
      <c r="AB107" s="426"/>
      <c r="AC107" s="426"/>
      <c r="AD107" s="426"/>
      <c r="AE107" s="426"/>
      <c r="AF107" s="426"/>
      <c r="AG107" s="426"/>
      <c r="AH107" s="426"/>
      <c r="AI107" s="426"/>
      <c r="AJ107" s="426"/>
      <c r="AK107" s="426"/>
      <c r="AL107" s="426"/>
      <c r="AM107" s="426"/>
      <c r="AN107" s="426"/>
      <c r="AO107" s="426"/>
      <c r="AP107" s="426"/>
      <c r="AQ107" s="426"/>
      <c r="AR107" s="585" t="s">
        <v>792</v>
      </c>
      <c r="AS107" s="426"/>
      <c r="AT107" s="426"/>
      <c r="AU107" s="426"/>
      <c r="AV107" s="585" t="s">
        <v>792</v>
      </c>
      <c r="AW107" s="426"/>
      <c r="AX107" s="426"/>
      <c r="AY107" s="426"/>
      <c r="AZ107" s="428"/>
    </row>
    <row r="108" spans="2:52" ht="14.4" x14ac:dyDescent="0.3">
      <c r="B108" s="425">
        <f t="shared" si="2"/>
        <v>7</v>
      </c>
      <c r="C108" s="95" t="s">
        <v>183</v>
      </c>
      <c r="D108" s="429" t="s">
        <v>350</v>
      </c>
      <c r="E108" s="429" t="s">
        <v>794</v>
      </c>
      <c r="F108" s="429" t="s">
        <v>677</v>
      </c>
      <c r="G108" s="91">
        <v>505.76</v>
      </c>
      <c r="H108" s="486">
        <v>599.00191359999997</v>
      </c>
      <c r="I108" s="585" t="s">
        <v>792</v>
      </c>
      <c r="J108" s="426"/>
      <c r="K108" s="426"/>
      <c r="L108" s="426"/>
      <c r="M108" s="585" t="s">
        <v>792</v>
      </c>
      <c r="N108" s="426"/>
      <c r="O108" s="426"/>
      <c r="P108" s="426"/>
      <c r="Q108" s="426"/>
      <c r="R108" s="426"/>
      <c r="S108" s="426"/>
      <c r="T108" s="426"/>
      <c r="U108" s="426"/>
      <c r="V108" s="426"/>
      <c r="W108" s="426"/>
      <c r="X108" s="426"/>
      <c r="Y108" s="426"/>
      <c r="Z108" s="426"/>
      <c r="AA108" s="426"/>
      <c r="AB108" s="426"/>
      <c r="AC108" s="426"/>
      <c r="AD108" s="426"/>
      <c r="AE108" s="426"/>
      <c r="AF108" s="426"/>
      <c r="AG108" s="426"/>
      <c r="AH108" s="426"/>
      <c r="AI108" s="426"/>
      <c r="AJ108" s="426"/>
      <c r="AK108" s="426"/>
      <c r="AL108" s="426"/>
      <c r="AM108" s="426"/>
      <c r="AN108" s="426"/>
      <c r="AO108" s="426"/>
      <c r="AP108" s="426"/>
      <c r="AQ108" s="426"/>
      <c r="AR108" s="585" t="s">
        <v>792</v>
      </c>
      <c r="AS108" s="426"/>
      <c r="AT108" s="426"/>
      <c r="AU108" s="426"/>
      <c r="AV108" s="585" t="s">
        <v>792</v>
      </c>
      <c r="AW108" s="426"/>
      <c r="AX108" s="426"/>
      <c r="AY108" s="426"/>
      <c r="AZ108" s="428"/>
    </row>
    <row r="109" spans="2:52" ht="14.4" x14ac:dyDescent="0.3">
      <c r="B109" s="425">
        <f t="shared" si="2"/>
        <v>8</v>
      </c>
      <c r="C109" s="95" t="s">
        <v>186</v>
      </c>
      <c r="D109" s="429" t="s">
        <v>350</v>
      </c>
      <c r="E109" s="429" t="s">
        <v>794</v>
      </c>
      <c r="F109" s="429" t="s">
        <v>677</v>
      </c>
      <c r="G109" s="91">
        <v>547.98</v>
      </c>
      <c r="H109" s="486">
        <v>649</v>
      </c>
      <c r="I109" s="585" t="s">
        <v>792</v>
      </c>
      <c r="J109" s="426"/>
      <c r="K109" s="426"/>
      <c r="L109" s="426"/>
      <c r="M109" s="585" t="s">
        <v>792</v>
      </c>
      <c r="N109" s="426"/>
      <c r="O109" s="426"/>
      <c r="P109" s="426"/>
      <c r="Q109" s="426"/>
      <c r="R109" s="426"/>
      <c r="S109" s="426"/>
      <c r="T109" s="426"/>
      <c r="U109" s="426"/>
      <c r="V109" s="426"/>
      <c r="W109" s="426"/>
      <c r="X109" s="426"/>
      <c r="Y109" s="426"/>
      <c r="Z109" s="426"/>
      <c r="AA109" s="426"/>
      <c r="AB109" s="426"/>
      <c r="AC109" s="426"/>
      <c r="AD109" s="426"/>
      <c r="AE109" s="426"/>
      <c r="AF109" s="426"/>
      <c r="AG109" s="426"/>
      <c r="AH109" s="426"/>
      <c r="AI109" s="426"/>
      <c r="AJ109" s="426"/>
      <c r="AK109" s="426"/>
      <c r="AL109" s="426"/>
      <c r="AM109" s="426"/>
      <c r="AN109" s="426"/>
      <c r="AO109" s="426"/>
      <c r="AP109" s="426"/>
      <c r="AQ109" s="426"/>
      <c r="AR109" s="585" t="s">
        <v>792</v>
      </c>
      <c r="AS109" s="426"/>
      <c r="AT109" s="426"/>
      <c r="AU109" s="426"/>
      <c r="AV109" s="585" t="s">
        <v>792</v>
      </c>
      <c r="AW109" s="426"/>
      <c r="AX109" s="426"/>
      <c r="AY109" s="426"/>
      <c r="AZ109" s="428"/>
    </row>
    <row r="110" spans="2:52" ht="14.4" x14ac:dyDescent="0.3">
      <c r="B110" s="425">
        <f t="shared" si="2"/>
        <v>9</v>
      </c>
      <c r="C110" s="95" t="s">
        <v>1036</v>
      </c>
      <c r="D110" s="429" t="s">
        <v>350</v>
      </c>
      <c r="E110" s="429" t="s">
        <v>794</v>
      </c>
      <c r="F110" s="429" t="s">
        <v>677</v>
      </c>
      <c r="G110" s="91">
        <v>612.14</v>
      </c>
      <c r="H110" s="486">
        <v>725</v>
      </c>
      <c r="I110" s="585" t="s">
        <v>792</v>
      </c>
      <c r="J110" s="426"/>
      <c r="K110" s="426"/>
      <c r="L110" s="426"/>
      <c r="M110" s="585" t="s">
        <v>792</v>
      </c>
      <c r="N110" s="426"/>
      <c r="O110" s="426"/>
      <c r="P110" s="426"/>
      <c r="Q110" s="426"/>
      <c r="R110" s="426"/>
      <c r="S110" s="426"/>
      <c r="T110" s="426"/>
      <c r="U110" s="426"/>
      <c r="V110" s="426"/>
      <c r="W110" s="426"/>
      <c r="X110" s="426"/>
      <c r="Y110" s="426"/>
      <c r="Z110" s="426"/>
      <c r="AA110" s="426"/>
      <c r="AB110" s="426"/>
      <c r="AC110" s="426"/>
      <c r="AD110" s="426"/>
      <c r="AE110" s="426"/>
      <c r="AF110" s="426"/>
      <c r="AG110" s="426"/>
      <c r="AH110" s="426"/>
      <c r="AI110" s="426"/>
      <c r="AJ110" s="426"/>
      <c r="AK110" s="426"/>
      <c r="AL110" s="426"/>
      <c r="AM110" s="426"/>
      <c r="AN110" s="426"/>
      <c r="AO110" s="426"/>
      <c r="AP110" s="426"/>
      <c r="AQ110" s="426"/>
      <c r="AR110" s="585" t="s">
        <v>792</v>
      </c>
      <c r="AS110" s="426"/>
      <c r="AT110" s="426"/>
      <c r="AU110" s="426"/>
      <c r="AV110" s="585" t="s">
        <v>792</v>
      </c>
      <c r="AW110" s="426"/>
      <c r="AX110" s="426"/>
      <c r="AY110" s="426"/>
      <c r="AZ110" s="428"/>
    </row>
    <row r="111" spans="2:52" ht="14.4" outlineLevel="1" x14ac:dyDescent="0.3">
      <c r="B111" s="425">
        <f t="shared" si="2"/>
        <v>10</v>
      </c>
      <c r="C111" s="95" t="s">
        <v>188</v>
      </c>
      <c r="D111" s="429" t="s">
        <v>350</v>
      </c>
      <c r="E111" s="429" t="s">
        <v>794</v>
      </c>
      <c r="F111" s="429" t="s">
        <v>677</v>
      </c>
      <c r="G111" s="91">
        <v>843.5</v>
      </c>
      <c r="H111" s="486">
        <v>999</v>
      </c>
      <c r="I111" s="585" t="s">
        <v>792</v>
      </c>
      <c r="J111" s="426"/>
      <c r="K111" s="426"/>
      <c r="L111" s="426"/>
      <c r="M111" s="585" t="s">
        <v>792</v>
      </c>
      <c r="N111" s="426"/>
      <c r="O111" s="426"/>
      <c r="P111" s="426"/>
      <c r="Q111" s="426"/>
      <c r="R111" s="426"/>
      <c r="S111" s="426"/>
      <c r="T111" s="426"/>
      <c r="U111" s="426"/>
      <c r="V111" s="426"/>
      <c r="W111" s="426"/>
      <c r="X111" s="426"/>
      <c r="Y111" s="426"/>
      <c r="Z111" s="426"/>
      <c r="AA111" s="426"/>
      <c r="AB111" s="426"/>
      <c r="AC111" s="426"/>
      <c r="AD111" s="426"/>
      <c r="AE111" s="426"/>
      <c r="AF111" s="426"/>
      <c r="AG111" s="426"/>
      <c r="AH111" s="426"/>
      <c r="AI111" s="426"/>
      <c r="AJ111" s="426"/>
      <c r="AK111" s="426"/>
      <c r="AL111" s="426"/>
      <c r="AM111" s="426"/>
      <c r="AN111" s="426"/>
      <c r="AO111" s="426"/>
      <c r="AP111" s="426"/>
      <c r="AQ111" s="426"/>
      <c r="AR111" s="585" t="s">
        <v>792</v>
      </c>
      <c r="AS111" s="426"/>
      <c r="AT111" s="426"/>
      <c r="AU111" s="426"/>
      <c r="AV111" s="585" t="s">
        <v>792</v>
      </c>
      <c r="AW111" s="426"/>
      <c r="AX111" s="426"/>
      <c r="AY111" s="426"/>
      <c r="AZ111" s="428"/>
    </row>
    <row r="112" spans="2:52" ht="14.4" outlineLevel="1" x14ac:dyDescent="0.3">
      <c r="B112" s="425">
        <f t="shared" si="2"/>
        <v>11</v>
      </c>
      <c r="C112" s="95" t="s">
        <v>190</v>
      </c>
      <c r="D112" s="429" t="s">
        <v>350</v>
      </c>
      <c r="E112" s="429" t="s">
        <v>794</v>
      </c>
      <c r="F112" s="429" t="s">
        <v>677</v>
      </c>
      <c r="G112" s="91">
        <v>1181.23</v>
      </c>
      <c r="H112" s="486">
        <v>1399</v>
      </c>
      <c r="I112" s="585" t="s">
        <v>792</v>
      </c>
      <c r="J112" s="426"/>
      <c r="K112" s="426"/>
      <c r="L112" s="426"/>
      <c r="M112" s="585" t="s">
        <v>792</v>
      </c>
      <c r="N112" s="426"/>
      <c r="O112" s="426"/>
      <c r="P112" s="426"/>
      <c r="Q112" s="426"/>
      <c r="R112" s="426"/>
      <c r="S112" s="426"/>
      <c r="T112" s="426"/>
      <c r="U112" s="426"/>
      <c r="V112" s="426"/>
      <c r="W112" s="426"/>
      <c r="X112" s="426"/>
      <c r="Y112" s="426"/>
      <c r="Z112" s="426"/>
      <c r="AA112" s="426"/>
      <c r="AB112" s="426"/>
      <c r="AC112" s="426"/>
      <c r="AD112" s="426"/>
      <c r="AE112" s="426"/>
      <c r="AF112" s="426"/>
      <c r="AG112" s="426"/>
      <c r="AH112" s="426"/>
      <c r="AI112" s="426"/>
      <c r="AJ112" s="426"/>
      <c r="AK112" s="426"/>
      <c r="AL112" s="426"/>
      <c r="AM112" s="426"/>
      <c r="AN112" s="426"/>
      <c r="AO112" s="426"/>
      <c r="AP112" s="426"/>
      <c r="AQ112" s="426"/>
      <c r="AR112" s="585" t="s">
        <v>792</v>
      </c>
      <c r="AS112" s="426"/>
      <c r="AT112" s="426"/>
      <c r="AU112" s="426"/>
      <c r="AV112" s="585" t="s">
        <v>792</v>
      </c>
      <c r="AW112" s="426"/>
      <c r="AX112" s="426"/>
      <c r="AY112" s="426"/>
      <c r="AZ112" s="428"/>
    </row>
    <row r="113" spans="2:52" ht="14.4" outlineLevel="1" x14ac:dyDescent="0.3">
      <c r="B113" s="425">
        <f t="shared" si="2"/>
        <v>12</v>
      </c>
      <c r="C113" s="95" t="s">
        <v>167</v>
      </c>
      <c r="D113" s="429" t="s">
        <v>350</v>
      </c>
      <c r="E113" s="429" t="s">
        <v>791</v>
      </c>
      <c r="F113" s="429" t="s">
        <v>677</v>
      </c>
      <c r="G113" s="91">
        <v>240.52</v>
      </c>
      <c r="H113" s="486">
        <v>279</v>
      </c>
      <c r="I113" s="585" t="s">
        <v>792</v>
      </c>
      <c r="J113" s="426"/>
      <c r="K113" s="426"/>
      <c r="L113" s="426"/>
      <c r="M113" s="585" t="s">
        <v>792</v>
      </c>
      <c r="N113" s="426"/>
      <c r="O113" s="426"/>
      <c r="P113" s="426"/>
      <c r="Q113" s="426"/>
      <c r="R113" s="426"/>
      <c r="S113" s="426"/>
      <c r="T113" s="426"/>
      <c r="U113" s="426"/>
      <c r="V113" s="426"/>
      <c r="W113" s="426"/>
      <c r="X113" s="426"/>
      <c r="Y113" s="426"/>
      <c r="Z113" s="426"/>
      <c r="AA113" s="426"/>
      <c r="AB113" s="426"/>
      <c r="AC113" s="426"/>
      <c r="AD113" s="426"/>
      <c r="AE113" s="426"/>
      <c r="AF113" s="426"/>
      <c r="AG113" s="426"/>
      <c r="AH113" s="426"/>
      <c r="AI113" s="426"/>
      <c r="AJ113" s="426"/>
      <c r="AK113" s="426"/>
      <c r="AL113" s="426"/>
      <c r="AM113" s="426"/>
      <c r="AN113" s="426"/>
      <c r="AO113" s="426"/>
      <c r="AP113" s="426"/>
      <c r="AQ113" s="426"/>
      <c r="AR113" s="585" t="s">
        <v>792</v>
      </c>
      <c r="AS113" s="426"/>
      <c r="AT113" s="426"/>
      <c r="AU113" s="426"/>
      <c r="AV113" s="585" t="s">
        <v>792</v>
      </c>
      <c r="AW113" s="426"/>
      <c r="AX113" s="426"/>
      <c r="AY113" s="426"/>
      <c r="AZ113" s="428"/>
    </row>
    <row r="114" spans="2:52" ht="14.4" outlineLevel="1" x14ac:dyDescent="0.3">
      <c r="B114" s="425">
        <f t="shared" si="2"/>
        <v>13</v>
      </c>
      <c r="C114" s="513" t="s">
        <v>170</v>
      </c>
      <c r="D114" s="429" t="s">
        <v>350</v>
      </c>
      <c r="E114" s="429" t="s">
        <v>791</v>
      </c>
      <c r="F114" s="429" t="s">
        <v>677</v>
      </c>
      <c r="G114" s="91">
        <v>257.76</v>
      </c>
      <c r="H114" s="486">
        <v>299</v>
      </c>
      <c r="I114" s="585" t="s">
        <v>792</v>
      </c>
      <c r="J114" s="426"/>
      <c r="K114" s="426"/>
      <c r="L114" s="426"/>
      <c r="M114" s="585" t="s">
        <v>792</v>
      </c>
      <c r="N114" s="426"/>
      <c r="O114" s="426"/>
      <c r="P114" s="426"/>
      <c r="Q114" s="426"/>
      <c r="R114" s="426"/>
      <c r="S114" s="426"/>
      <c r="T114" s="426"/>
      <c r="U114" s="426"/>
      <c r="V114" s="426"/>
      <c r="W114" s="426"/>
      <c r="X114" s="426"/>
      <c r="Y114" s="426"/>
      <c r="Z114" s="426"/>
      <c r="AA114" s="426"/>
      <c r="AB114" s="426"/>
      <c r="AC114" s="426"/>
      <c r="AD114" s="426"/>
      <c r="AE114" s="426"/>
      <c r="AF114" s="426"/>
      <c r="AG114" s="426"/>
      <c r="AH114" s="426"/>
      <c r="AI114" s="426"/>
      <c r="AJ114" s="426"/>
      <c r="AK114" s="426"/>
      <c r="AL114" s="426"/>
      <c r="AM114" s="426"/>
      <c r="AN114" s="426"/>
      <c r="AO114" s="426"/>
      <c r="AP114" s="426"/>
      <c r="AQ114" s="426"/>
      <c r="AR114" s="585" t="s">
        <v>792</v>
      </c>
      <c r="AS114" s="426"/>
      <c r="AT114" s="426"/>
      <c r="AU114" s="426"/>
      <c r="AV114" s="585" t="s">
        <v>792</v>
      </c>
      <c r="AW114" s="426"/>
      <c r="AX114" s="426"/>
      <c r="AY114" s="426"/>
      <c r="AZ114" s="428"/>
    </row>
    <row r="115" spans="2:52" ht="14.4" outlineLevel="1" x14ac:dyDescent="0.3">
      <c r="B115" s="425">
        <f t="shared" si="2"/>
        <v>14</v>
      </c>
      <c r="C115" s="95" t="s">
        <v>174</v>
      </c>
      <c r="D115" s="429" t="s">
        <v>350</v>
      </c>
      <c r="E115" s="429" t="s">
        <v>791</v>
      </c>
      <c r="F115" s="429" t="s">
        <v>677</v>
      </c>
      <c r="G115" s="91">
        <v>300.86</v>
      </c>
      <c r="H115" s="486">
        <v>348.99759999999998</v>
      </c>
      <c r="I115" s="585" t="s">
        <v>792</v>
      </c>
      <c r="J115" s="426"/>
      <c r="K115" s="426"/>
      <c r="L115" s="426"/>
      <c r="M115" s="585" t="s">
        <v>792</v>
      </c>
      <c r="N115" s="426"/>
      <c r="O115" s="426"/>
      <c r="P115" s="426"/>
      <c r="Q115" s="426"/>
      <c r="R115" s="426"/>
      <c r="S115" s="426"/>
      <c r="T115" s="426"/>
      <c r="U115" s="426"/>
      <c r="V115" s="426"/>
      <c r="W115" s="426"/>
      <c r="X115" s="426"/>
      <c r="Y115" s="426"/>
      <c r="Z115" s="426"/>
      <c r="AA115" s="426"/>
      <c r="AB115" s="426"/>
      <c r="AC115" s="426"/>
      <c r="AD115" s="426"/>
      <c r="AE115" s="426"/>
      <c r="AF115" s="426"/>
      <c r="AG115" s="426"/>
      <c r="AH115" s="426"/>
      <c r="AI115" s="426"/>
      <c r="AJ115" s="426"/>
      <c r="AK115" s="426"/>
      <c r="AL115" s="426"/>
      <c r="AM115" s="426"/>
      <c r="AN115" s="426"/>
      <c r="AO115" s="426"/>
      <c r="AP115" s="426"/>
      <c r="AQ115" s="426"/>
      <c r="AR115" s="585" t="s">
        <v>792</v>
      </c>
      <c r="AS115" s="426"/>
      <c r="AT115" s="426"/>
      <c r="AU115" s="426"/>
      <c r="AV115" s="585" t="s">
        <v>792</v>
      </c>
      <c r="AW115" s="426"/>
      <c r="AX115" s="426"/>
      <c r="AY115" s="426"/>
      <c r="AZ115" s="428"/>
    </row>
    <row r="116" spans="2:52" ht="14.4" outlineLevel="1" x14ac:dyDescent="0.3">
      <c r="B116" s="425">
        <f t="shared" si="2"/>
        <v>15</v>
      </c>
      <c r="C116" s="95" t="s">
        <v>177</v>
      </c>
      <c r="D116" s="429" t="s">
        <v>350</v>
      </c>
      <c r="E116" s="429" t="s">
        <v>791</v>
      </c>
      <c r="F116" s="429" t="s">
        <v>677</v>
      </c>
      <c r="G116" s="91">
        <v>343.97</v>
      </c>
      <c r="H116" s="486">
        <v>398.99520000000001</v>
      </c>
      <c r="I116" s="585" t="s">
        <v>792</v>
      </c>
      <c r="J116" s="426"/>
      <c r="K116" s="426"/>
      <c r="L116" s="426"/>
      <c r="M116" s="585" t="s">
        <v>792</v>
      </c>
      <c r="N116" s="426"/>
      <c r="O116" s="426"/>
      <c r="P116" s="426"/>
      <c r="Q116" s="426"/>
      <c r="R116" s="426"/>
      <c r="S116" s="426"/>
      <c r="T116" s="426"/>
      <c r="U116" s="426"/>
      <c r="V116" s="426"/>
      <c r="W116" s="426"/>
      <c r="X116" s="426"/>
      <c r="Y116" s="426"/>
      <c r="Z116" s="426"/>
      <c r="AA116" s="426"/>
      <c r="AB116" s="426"/>
      <c r="AC116" s="426"/>
      <c r="AD116" s="426"/>
      <c r="AE116" s="426"/>
      <c r="AF116" s="426"/>
      <c r="AG116" s="426"/>
      <c r="AH116" s="426"/>
      <c r="AI116" s="426"/>
      <c r="AJ116" s="426"/>
      <c r="AK116" s="426"/>
      <c r="AL116" s="426"/>
      <c r="AM116" s="426"/>
      <c r="AN116" s="426"/>
      <c r="AO116" s="426"/>
      <c r="AP116" s="426"/>
      <c r="AQ116" s="426"/>
      <c r="AR116" s="585" t="s">
        <v>792</v>
      </c>
      <c r="AS116" s="426"/>
      <c r="AT116" s="426"/>
      <c r="AU116" s="426"/>
      <c r="AV116" s="585" t="s">
        <v>792</v>
      </c>
      <c r="AW116" s="426"/>
      <c r="AX116" s="426"/>
      <c r="AY116" s="426"/>
      <c r="AZ116" s="428"/>
    </row>
    <row r="117" spans="2:52" ht="14.4" outlineLevel="1" x14ac:dyDescent="0.3">
      <c r="B117" s="425">
        <f t="shared" si="2"/>
        <v>16</v>
      </c>
      <c r="C117" s="95" t="s">
        <v>180</v>
      </c>
      <c r="D117" s="429" t="s">
        <v>350</v>
      </c>
      <c r="E117" s="429" t="s">
        <v>791</v>
      </c>
      <c r="F117" s="429" t="s">
        <v>677</v>
      </c>
      <c r="G117" s="91">
        <v>387.07</v>
      </c>
      <c r="H117" s="486">
        <v>449</v>
      </c>
      <c r="I117" s="585" t="s">
        <v>792</v>
      </c>
      <c r="J117" s="426"/>
      <c r="K117" s="426"/>
      <c r="L117" s="426"/>
      <c r="M117" s="585" t="s">
        <v>792</v>
      </c>
      <c r="N117" s="426"/>
      <c r="O117" s="426"/>
      <c r="P117" s="426"/>
      <c r="Q117" s="426"/>
      <c r="R117" s="426"/>
      <c r="S117" s="426"/>
      <c r="T117" s="426"/>
      <c r="U117" s="426"/>
      <c r="V117" s="426"/>
      <c r="W117" s="426"/>
      <c r="X117" s="426"/>
      <c r="Y117" s="426"/>
      <c r="Z117" s="426"/>
      <c r="AA117" s="426"/>
      <c r="AB117" s="426"/>
      <c r="AC117" s="426"/>
      <c r="AD117" s="426"/>
      <c r="AE117" s="426"/>
      <c r="AF117" s="426"/>
      <c r="AG117" s="426"/>
      <c r="AH117" s="426"/>
      <c r="AI117" s="426"/>
      <c r="AJ117" s="426"/>
      <c r="AK117" s="426"/>
      <c r="AL117" s="426"/>
      <c r="AM117" s="426"/>
      <c r="AN117" s="426"/>
      <c r="AO117" s="426"/>
      <c r="AP117" s="426"/>
      <c r="AQ117" s="426"/>
      <c r="AR117" s="585" t="s">
        <v>792</v>
      </c>
      <c r="AS117" s="426"/>
      <c r="AT117" s="426"/>
      <c r="AU117" s="426"/>
      <c r="AV117" s="585" t="s">
        <v>792</v>
      </c>
      <c r="AW117" s="426"/>
      <c r="AX117" s="426"/>
      <c r="AY117" s="426"/>
      <c r="AZ117" s="428"/>
    </row>
    <row r="118" spans="2:52" ht="14.4" outlineLevel="1" x14ac:dyDescent="0.3">
      <c r="B118" s="425">
        <f t="shared" si="2"/>
        <v>17</v>
      </c>
      <c r="C118" s="95" t="s">
        <v>1037</v>
      </c>
      <c r="D118" s="429" t="s">
        <v>350</v>
      </c>
      <c r="E118" s="429" t="s">
        <v>791</v>
      </c>
      <c r="F118" s="429" t="s">
        <v>677</v>
      </c>
      <c r="G118" s="91">
        <v>430.17</v>
      </c>
      <c r="H118" s="486">
        <v>499</v>
      </c>
      <c r="I118" s="585" t="s">
        <v>792</v>
      </c>
      <c r="J118" s="426"/>
      <c r="K118" s="426"/>
      <c r="L118" s="426"/>
      <c r="M118" s="585" t="s">
        <v>792</v>
      </c>
      <c r="N118" s="426"/>
      <c r="O118" s="426"/>
      <c r="P118" s="426"/>
      <c r="Q118" s="426"/>
      <c r="R118" s="426"/>
      <c r="S118" s="426"/>
      <c r="T118" s="426"/>
      <c r="U118" s="426"/>
      <c r="V118" s="426"/>
      <c r="W118" s="426"/>
      <c r="X118" s="426"/>
      <c r="Y118" s="426"/>
      <c r="Z118" s="426"/>
      <c r="AA118" s="426"/>
      <c r="AB118" s="426"/>
      <c r="AC118" s="426"/>
      <c r="AD118" s="426"/>
      <c r="AE118" s="426"/>
      <c r="AF118" s="426"/>
      <c r="AG118" s="426"/>
      <c r="AH118" s="426"/>
      <c r="AI118" s="426"/>
      <c r="AJ118" s="426"/>
      <c r="AK118" s="426"/>
      <c r="AL118" s="426"/>
      <c r="AM118" s="426"/>
      <c r="AN118" s="426"/>
      <c r="AO118" s="426"/>
      <c r="AP118" s="426"/>
      <c r="AQ118" s="426"/>
      <c r="AR118" s="585" t="s">
        <v>792</v>
      </c>
      <c r="AS118" s="426"/>
      <c r="AT118" s="426"/>
      <c r="AU118" s="426"/>
      <c r="AV118" s="585" t="s">
        <v>792</v>
      </c>
      <c r="AW118" s="426"/>
      <c r="AX118" s="426"/>
      <c r="AY118" s="426"/>
      <c r="AZ118" s="428"/>
    </row>
    <row r="119" spans="2:52" ht="14.4" outlineLevel="1" x14ac:dyDescent="0.3">
      <c r="B119" s="425">
        <f t="shared" si="2"/>
        <v>18</v>
      </c>
      <c r="C119" s="95" t="s">
        <v>182</v>
      </c>
      <c r="D119" s="429" t="s">
        <v>350</v>
      </c>
      <c r="E119" s="429" t="s">
        <v>791</v>
      </c>
      <c r="F119" s="429" t="s">
        <v>677</v>
      </c>
      <c r="G119" s="91">
        <v>473.28</v>
      </c>
      <c r="H119" s="486">
        <v>549</v>
      </c>
      <c r="I119" s="585" t="s">
        <v>792</v>
      </c>
      <c r="J119" s="426"/>
      <c r="K119" s="426"/>
      <c r="L119" s="426"/>
      <c r="M119" s="585" t="s">
        <v>792</v>
      </c>
      <c r="N119" s="426"/>
      <c r="O119" s="426"/>
      <c r="P119" s="426"/>
      <c r="Q119" s="426"/>
      <c r="R119" s="426"/>
      <c r="S119" s="426"/>
      <c r="T119" s="426"/>
      <c r="U119" s="426"/>
      <c r="V119" s="426"/>
      <c r="W119" s="426"/>
      <c r="X119" s="426"/>
      <c r="Y119" s="426"/>
      <c r="Z119" s="426"/>
      <c r="AA119" s="426"/>
      <c r="AB119" s="426"/>
      <c r="AC119" s="426"/>
      <c r="AD119" s="426"/>
      <c r="AE119" s="426"/>
      <c r="AF119" s="426"/>
      <c r="AG119" s="426"/>
      <c r="AH119" s="426"/>
      <c r="AI119" s="426"/>
      <c r="AJ119" s="426"/>
      <c r="AK119" s="426"/>
      <c r="AL119" s="426"/>
      <c r="AM119" s="426"/>
      <c r="AN119" s="426"/>
      <c r="AO119" s="426"/>
      <c r="AP119" s="426"/>
      <c r="AQ119" s="426"/>
      <c r="AR119" s="585" t="s">
        <v>792</v>
      </c>
      <c r="AS119" s="426"/>
      <c r="AT119" s="426"/>
      <c r="AU119" s="426"/>
      <c r="AV119" s="585" t="s">
        <v>792</v>
      </c>
      <c r="AW119" s="426"/>
      <c r="AX119" s="426"/>
      <c r="AY119" s="426"/>
      <c r="AZ119" s="428"/>
    </row>
    <row r="120" spans="2:52" ht="14.4" outlineLevel="1" x14ac:dyDescent="0.3">
      <c r="B120" s="425">
        <f t="shared" si="2"/>
        <v>19</v>
      </c>
      <c r="C120" s="95" t="s">
        <v>1038</v>
      </c>
      <c r="D120" s="429" t="s">
        <v>350</v>
      </c>
      <c r="E120" s="429" t="s">
        <v>791</v>
      </c>
      <c r="F120" s="429" t="s">
        <v>677</v>
      </c>
      <c r="G120" s="91">
        <v>559.48</v>
      </c>
      <c r="H120" s="486">
        <v>649</v>
      </c>
      <c r="I120" s="585" t="s">
        <v>792</v>
      </c>
      <c r="J120" s="426"/>
      <c r="K120" s="426"/>
      <c r="L120" s="426"/>
      <c r="M120" s="585" t="s">
        <v>792</v>
      </c>
      <c r="N120" s="426"/>
      <c r="O120" s="426"/>
      <c r="P120" s="426"/>
      <c r="Q120" s="426"/>
      <c r="R120" s="426"/>
      <c r="S120" s="426"/>
      <c r="T120" s="426"/>
      <c r="U120" s="426"/>
      <c r="V120" s="426"/>
      <c r="W120" s="426"/>
      <c r="X120" s="426"/>
      <c r="Y120" s="426"/>
      <c r="Z120" s="426"/>
      <c r="AA120" s="426"/>
      <c r="AB120" s="426"/>
      <c r="AC120" s="426"/>
      <c r="AD120" s="426"/>
      <c r="AE120" s="426"/>
      <c r="AF120" s="426"/>
      <c r="AG120" s="426"/>
      <c r="AH120" s="426"/>
      <c r="AI120" s="426"/>
      <c r="AJ120" s="426"/>
      <c r="AK120" s="426"/>
      <c r="AL120" s="426"/>
      <c r="AM120" s="426"/>
      <c r="AN120" s="426"/>
      <c r="AO120" s="426"/>
      <c r="AP120" s="426"/>
      <c r="AQ120" s="426"/>
      <c r="AR120" s="585" t="s">
        <v>792</v>
      </c>
      <c r="AS120" s="426"/>
      <c r="AT120" s="426"/>
      <c r="AU120" s="426"/>
      <c r="AV120" s="585" t="s">
        <v>792</v>
      </c>
      <c r="AW120" s="426"/>
      <c r="AX120" s="426"/>
      <c r="AY120" s="426"/>
      <c r="AZ120" s="428"/>
    </row>
    <row r="121" spans="2:52" ht="14.4" outlineLevel="1" x14ac:dyDescent="0.3">
      <c r="B121" s="425">
        <f t="shared" si="2"/>
        <v>20</v>
      </c>
      <c r="C121" s="95" t="s">
        <v>184</v>
      </c>
      <c r="D121" s="429" t="s">
        <v>350</v>
      </c>
      <c r="E121" s="429" t="s">
        <v>791</v>
      </c>
      <c r="F121" s="429" t="s">
        <v>677</v>
      </c>
      <c r="G121" s="91">
        <v>775</v>
      </c>
      <c r="H121" s="486">
        <v>898.99999999999989</v>
      </c>
      <c r="I121" s="585" t="s">
        <v>792</v>
      </c>
      <c r="J121" s="426"/>
      <c r="K121" s="426"/>
      <c r="L121" s="426"/>
      <c r="M121" s="585" t="s">
        <v>792</v>
      </c>
      <c r="N121" s="426"/>
      <c r="O121" s="426"/>
      <c r="P121" s="426"/>
      <c r="Q121" s="426"/>
      <c r="R121" s="426"/>
      <c r="S121" s="426"/>
      <c r="T121" s="426"/>
      <c r="U121" s="426"/>
      <c r="V121" s="426"/>
      <c r="W121" s="426"/>
      <c r="X121" s="426"/>
      <c r="Y121" s="426"/>
      <c r="Z121" s="426"/>
      <c r="AA121" s="426"/>
      <c r="AB121" s="426"/>
      <c r="AC121" s="426"/>
      <c r="AD121" s="426"/>
      <c r="AE121" s="426"/>
      <c r="AF121" s="426"/>
      <c r="AG121" s="426"/>
      <c r="AH121" s="426"/>
      <c r="AI121" s="426"/>
      <c r="AJ121" s="426"/>
      <c r="AK121" s="426"/>
      <c r="AL121" s="426"/>
      <c r="AM121" s="426"/>
      <c r="AN121" s="426"/>
      <c r="AO121" s="426"/>
      <c r="AP121" s="426"/>
      <c r="AQ121" s="426"/>
      <c r="AR121" s="585" t="s">
        <v>792</v>
      </c>
      <c r="AS121" s="426"/>
      <c r="AT121" s="426"/>
      <c r="AU121" s="426"/>
      <c r="AV121" s="585" t="s">
        <v>792</v>
      </c>
      <c r="AW121" s="426"/>
      <c r="AX121" s="426"/>
      <c r="AY121" s="426"/>
      <c r="AZ121" s="428"/>
    </row>
    <row r="122" spans="2:52" ht="14.4" outlineLevel="1" x14ac:dyDescent="0.3">
      <c r="B122" s="425">
        <f t="shared" si="2"/>
        <v>21</v>
      </c>
      <c r="C122" s="95" t="s">
        <v>194</v>
      </c>
      <c r="D122" s="429" t="s">
        <v>1039</v>
      </c>
      <c r="E122" s="429" t="s">
        <v>794</v>
      </c>
      <c r="F122" s="429" t="s">
        <v>677</v>
      </c>
      <c r="G122" s="91">
        <v>336.9</v>
      </c>
      <c r="H122" s="486">
        <v>399</v>
      </c>
      <c r="I122" s="585" t="s">
        <v>792</v>
      </c>
      <c r="J122" s="426"/>
      <c r="K122" s="426"/>
      <c r="L122" s="426"/>
      <c r="M122" s="585" t="s">
        <v>792</v>
      </c>
      <c r="N122" s="426"/>
      <c r="O122" s="426"/>
      <c r="P122" s="426"/>
      <c r="Q122" s="426"/>
      <c r="R122" s="426"/>
      <c r="S122" s="426"/>
      <c r="T122" s="426"/>
      <c r="U122" s="426"/>
      <c r="V122" s="426"/>
      <c r="W122" s="426"/>
      <c r="X122" s="426"/>
      <c r="Y122" s="426"/>
      <c r="Z122" s="426"/>
      <c r="AA122" s="426"/>
      <c r="AB122" s="426"/>
      <c r="AC122" s="426"/>
      <c r="AD122" s="426"/>
      <c r="AE122" s="426"/>
      <c r="AF122" s="426"/>
      <c r="AG122" s="426"/>
      <c r="AH122" s="426"/>
      <c r="AI122" s="426"/>
      <c r="AJ122" s="426"/>
      <c r="AK122" s="426"/>
      <c r="AL122" s="426"/>
      <c r="AM122" s="426"/>
      <c r="AN122" s="426"/>
      <c r="AO122" s="426"/>
      <c r="AP122" s="426"/>
      <c r="AQ122" s="426"/>
      <c r="AR122" s="585" t="s">
        <v>792</v>
      </c>
      <c r="AS122" s="426"/>
      <c r="AT122" s="426"/>
      <c r="AU122" s="426"/>
      <c r="AV122" s="585" t="s">
        <v>792</v>
      </c>
      <c r="AW122" s="426"/>
      <c r="AX122" s="426"/>
      <c r="AY122" s="426"/>
      <c r="AZ122" s="428"/>
    </row>
    <row r="123" spans="2:52" ht="14.4" outlineLevel="1" x14ac:dyDescent="0.3">
      <c r="B123" s="425">
        <f t="shared" si="2"/>
        <v>22</v>
      </c>
      <c r="C123" s="95" t="s">
        <v>196</v>
      </c>
      <c r="D123" s="429" t="s">
        <v>1039</v>
      </c>
      <c r="E123" s="429" t="s">
        <v>794</v>
      </c>
      <c r="F123" s="429" t="s">
        <v>677</v>
      </c>
      <c r="G123" s="91">
        <v>463.55</v>
      </c>
      <c r="H123" s="486">
        <v>549</v>
      </c>
      <c r="I123" s="585" t="s">
        <v>792</v>
      </c>
      <c r="J123" s="426"/>
      <c r="K123" s="426"/>
      <c r="L123" s="426"/>
      <c r="M123" s="585" t="s">
        <v>792</v>
      </c>
      <c r="N123" s="426"/>
      <c r="O123" s="426"/>
      <c r="P123" s="426"/>
      <c r="Q123" s="426"/>
      <c r="R123" s="426"/>
      <c r="S123" s="426"/>
      <c r="T123" s="426"/>
      <c r="U123" s="426"/>
      <c r="V123" s="426"/>
      <c r="W123" s="426"/>
      <c r="X123" s="426"/>
      <c r="Y123" s="426"/>
      <c r="Z123" s="426"/>
      <c r="AA123" s="426"/>
      <c r="AB123" s="426"/>
      <c r="AC123" s="426"/>
      <c r="AD123" s="426"/>
      <c r="AE123" s="426"/>
      <c r="AF123" s="426"/>
      <c r="AG123" s="426"/>
      <c r="AH123" s="426"/>
      <c r="AI123" s="426"/>
      <c r="AJ123" s="426"/>
      <c r="AK123" s="426"/>
      <c r="AL123" s="426"/>
      <c r="AM123" s="426"/>
      <c r="AN123" s="426"/>
      <c r="AO123" s="426"/>
      <c r="AP123" s="426"/>
      <c r="AQ123" s="426"/>
      <c r="AR123" s="585" t="s">
        <v>792</v>
      </c>
      <c r="AS123" s="426"/>
      <c r="AT123" s="426"/>
      <c r="AU123" s="426"/>
      <c r="AV123" s="585" t="s">
        <v>792</v>
      </c>
      <c r="AW123" s="426"/>
      <c r="AX123" s="426"/>
      <c r="AY123" s="426"/>
      <c r="AZ123" s="428"/>
    </row>
    <row r="124" spans="2:52" ht="14.4" outlineLevel="1" x14ac:dyDescent="0.3">
      <c r="B124" s="425">
        <f t="shared" si="2"/>
        <v>23</v>
      </c>
      <c r="C124" s="95" t="s">
        <v>198</v>
      </c>
      <c r="D124" s="429" t="s">
        <v>1039</v>
      </c>
      <c r="E124" s="429" t="s">
        <v>794</v>
      </c>
      <c r="F124" s="429" t="s">
        <v>677</v>
      </c>
      <c r="G124" s="91">
        <v>547.98</v>
      </c>
      <c r="H124" s="486">
        <v>649</v>
      </c>
      <c r="I124" s="585" t="s">
        <v>792</v>
      </c>
      <c r="J124" s="426"/>
      <c r="K124" s="426"/>
      <c r="L124" s="426"/>
      <c r="M124" s="585" t="s">
        <v>792</v>
      </c>
      <c r="N124" s="426"/>
      <c r="O124" s="426"/>
      <c r="P124" s="426"/>
      <c r="Q124" s="426"/>
      <c r="R124" s="426"/>
      <c r="S124" s="426"/>
      <c r="T124" s="426"/>
      <c r="U124" s="426"/>
      <c r="V124" s="426"/>
      <c r="W124" s="426"/>
      <c r="X124" s="426"/>
      <c r="Y124" s="426"/>
      <c r="Z124" s="426"/>
      <c r="AA124" s="426"/>
      <c r="AB124" s="426"/>
      <c r="AC124" s="426"/>
      <c r="AD124" s="426"/>
      <c r="AE124" s="426"/>
      <c r="AF124" s="426"/>
      <c r="AG124" s="426"/>
      <c r="AH124" s="426"/>
      <c r="AI124" s="426"/>
      <c r="AJ124" s="426"/>
      <c r="AK124" s="426"/>
      <c r="AL124" s="426"/>
      <c r="AM124" s="426"/>
      <c r="AN124" s="426"/>
      <c r="AO124" s="426"/>
      <c r="AP124" s="426"/>
      <c r="AQ124" s="426"/>
      <c r="AR124" s="585" t="s">
        <v>792</v>
      </c>
      <c r="AS124" s="426"/>
      <c r="AT124" s="426"/>
      <c r="AU124" s="426"/>
      <c r="AV124" s="585" t="s">
        <v>792</v>
      </c>
      <c r="AW124" s="426"/>
      <c r="AX124" s="426"/>
      <c r="AY124" s="426"/>
      <c r="AZ124" s="428"/>
    </row>
    <row r="125" spans="2:52" ht="14.4" outlineLevel="1" x14ac:dyDescent="0.3">
      <c r="B125" s="425">
        <f t="shared" si="2"/>
        <v>24</v>
      </c>
      <c r="C125" s="95" t="s">
        <v>200</v>
      </c>
      <c r="D125" s="429" t="s">
        <v>1039</v>
      </c>
      <c r="E125" s="429" t="s">
        <v>794</v>
      </c>
      <c r="F125" s="429" t="s">
        <v>677</v>
      </c>
      <c r="G125" s="91">
        <v>674.64</v>
      </c>
      <c r="H125" s="486">
        <v>799</v>
      </c>
      <c r="I125" s="585" t="s">
        <v>792</v>
      </c>
      <c r="J125" s="426"/>
      <c r="K125" s="426"/>
      <c r="L125" s="426"/>
      <c r="M125" s="585" t="s">
        <v>792</v>
      </c>
      <c r="N125" s="426"/>
      <c r="O125" s="426"/>
      <c r="P125" s="426"/>
      <c r="Q125" s="426"/>
      <c r="R125" s="426"/>
      <c r="S125" s="426"/>
      <c r="T125" s="426"/>
      <c r="U125" s="426"/>
      <c r="V125" s="426"/>
      <c r="W125" s="426"/>
      <c r="X125" s="426"/>
      <c r="Y125" s="426"/>
      <c r="Z125" s="426"/>
      <c r="AA125" s="426"/>
      <c r="AB125" s="426"/>
      <c r="AC125" s="426"/>
      <c r="AD125" s="426"/>
      <c r="AE125" s="426"/>
      <c r="AF125" s="426"/>
      <c r="AG125" s="426"/>
      <c r="AH125" s="426"/>
      <c r="AI125" s="426"/>
      <c r="AJ125" s="426"/>
      <c r="AK125" s="426"/>
      <c r="AL125" s="426"/>
      <c r="AM125" s="426"/>
      <c r="AN125" s="426"/>
      <c r="AO125" s="426"/>
      <c r="AP125" s="426"/>
      <c r="AQ125" s="426"/>
      <c r="AR125" s="585" t="s">
        <v>792</v>
      </c>
      <c r="AS125" s="426"/>
      <c r="AT125" s="426"/>
      <c r="AU125" s="426"/>
      <c r="AV125" s="585" t="s">
        <v>792</v>
      </c>
      <c r="AW125" s="426"/>
      <c r="AX125" s="426"/>
      <c r="AY125" s="426"/>
      <c r="AZ125" s="428"/>
    </row>
    <row r="126" spans="2:52" ht="14.4" outlineLevel="1" x14ac:dyDescent="0.3">
      <c r="B126" s="425">
        <f t="shared" si="2"/>
        <v>25</v>
      </c>
      <c r="C126" s="95" t="s">
        <v>202</v>
      </c>
      <c r="D126" s="429" t="s">
        <v>1039</v>
      </c>
      <c r="E126" s="429" t="s">
        <v>794</v>
      </c>
      <c r="F126" s="429" t="s">
        <v>677</v>
      </c>
      <c r="G126" s="91">
        <v>843.5</v>
      </c>
      <c r="H126" s="486">
        <v>999</v>
      </c>
      <c r="I126" s="585" t="s">
        <v>792</v>
      </c>
      <c r="J126" s="426"/>
      <c r="K126" s="426"/>
      <c r="L126" s="426"/>
      <c r="M126" s="585" t="s">
        <v>792</v>
      </c>
      <c r="N126" s="426"/>
      <c r="O126" s="426"/>
      <c r="P126" s="426"/>
      <c r="Q126" s="426"/>
      <c r="R126" s="426"/>
      <c r="S126" s="426"/>
      <c r="T126" s="426"/>
      <c r="U126" s="426"/>
      <c r="V126" s="426"/>
      <c r="W126" s="426"/>
      <c r="X126" s="426"/>
      <c r="Y126" s="426"/>
      <c r="Z126" s="426"/>
      <c r="AA126" s="426"/>
      <c r="AB126" s="426"/>
      <c r="AC126" s="426"/>
      <c r="AD126" s="426"/>
      <c r="AE126" s="426"/>
      <c r="AF126" s="426"/>
      <c r="AG126" s="426"/>
      <c r="AH126" s="426"/>
      <c r="AI126" s="426"/>
      <c r="AJ126" s="426"/>
      <c r="AK126" s="426"/>
      <c r="AL126" s="426"/>
      <c r="AM126" s="426"/>
      <c r="AN126" s="426"/>
      <c r="AO126" s="426"/>
      <c r="AP126" s="426"/>
      <c r="AQ126" s="426"/>
      <c r="AR126" s="585" t="s">
        <v>792</v>
      </c>
      <c r="AS126" s="426"/>
      <c r="AT126" s="426"/>
      <c r="AU126" s="426"/>
      <c r="AV126" s="585" t="s">
        <v>792</v>
      </c>
      <c r="AW126" s="426"/>
      <c r="AX126" s="426"/>
      <c r="AY126" s="426"/>
      <c r="AZ126" s="428"/>
    </row>
    <row r="127" spans="2:52" ht="14.4" outlineLevel="1" x14ac:dyDescent="0.3">
      <c r="B127" s="425">
        <f t="shared" si="2"/>
        <v>26</v>
      </c>
      <c r="C127" s="95" t="s">
        <v>203</v>
      </c>
      <c r="D127" s="429" t="s">
        <v>1039</v>
      </c>
      <c r="E127" s="429" t="s">
        <v>794</v>
      </c>
      <c r="F127" s="429" t="s">
        <v>677</v>
      </c>
      <c r="G127" s="91">
        <v>1265.6600000000001</v>
      </c>
      <c r="H127" s="486">
        <v>1499</v>
      </c>
      <c r="I127" s="585" t="s">
        <v>792</v>
      </c>
      <c r="J127" s="426"/>
      <c r="K127" s="426"/>
      <c r="L127" s="426"/>
      <c r="M127" s="585" t="s">
        <v>792</v>
      </c>
      <c r="N127" s="426"/>
      <c r="O127" s="426"/>
      <c r="P127" s="426"/>
      <c r="Q127" s="426"/>
      <c r="R127" s="426"/>
      <c r="S127" s="426"/>
      <c r="T127" s="426"/>
      <c r="U127" s="426"/>
      <c r="V127" s="426"/>
      <c r="W127" s="426"/>
      <c r="X127" s="426"/>
      <c r="Y127" s="426"/>
      <c r="Z127" s="426"/>
      <c r="AA127" s="426"/>
      <c r="AB127" s="426"/>
      <c r="AC127" s="426"/>
      <c r="AD127" s="426"/>
      <c r="AE127" s="426"/>
      <c r="AF127" s="426"/>
      <c r="AG127" s="426"/>
      <c r="AH127" s="426"/>
      <c r="AI127" s="426"/>
      <c r="AJ127" s="426"/>
      <c r="AK127" s="426"/>
      <c r="AL127" s="426"/>
      <c r="AM127" s="426"/>
      <c r="AN127" s="426"/>
      <c r="AO127" s="426"/>
      <c r="AP127" s="426"/>
      <c r="AQ127" s="426"/>
      <c r="AR127" s="585" t="s">
        <v>792</v>
      </c>
      <c r="AS127" s="426"/>
      <c r="AT127" s="426"/>
      <c r="AU127" s="426"/>
      <c r="AV127" s="585" t="s">
        <v>792</v>
      </c>
      <c r="AW127" s="426"/>
      <c r="AX127" s="426"/>
      <c r="AY127" s="426"/>
      <c r="AZ127" s="428"/>
    </row>
    <row r="128" spans="2:52" ht="14.4" outlineLevel="1" x14ac:dyDescent="0.3">
      <c r="B128" s="425">
        <f t="shared" si="2"/>
        <v>27</v>
      </c>
      <c r="C128" s="95" t="s">
        <v>204</v>
      </c>
      <c r="D128" s="429" t="s">
        <v>1039</v>
      </c>
      <c r="E128" s="429" t="s">
        <v>794</v>
      </c>
      <c r="F128" s="429" t="s">
        <v>677</v>
      </c>
      <c r="G128" s="91">
        <v>1510.52</v>
      </c>
      <c r="H128" s="486">
        <v>1789</v>
      </c>
      <c r="I128" s="585" t="s">
        <v>792</v>
      </c>
      <c r="J128" s="426"/>
      <c r="K128" s="426"/>
      <c r="L128" s="426"/>
      <c r="M128" s="585" t="s">
        <v>792</v>
      </c>
      <c r="N128" s="426"/>
      <c r="O128" s="426"/>
      <c r="P128" s="426"/>
      <c r="Q128" s="426"/>
      <c r="R128" s="426"/>
      <c r="S128" s="426"/>
      <c r="T128" s="426"/>
      <c r="U128" s="426"/>
      <c r="V128" s="426"/>
      <c r="W128" s="426"/>
      <c r="X128" s="426"/>
      <c r="Y128" s="426"/>
      <c r="Z128" s="426"/>
      <c r="AA128" s="426"/>
      <c r="AB128" s="426"/>
      <c r="AC128" s="426"/>
      <c r="AD128" s="426"/>
      <c r="AE128" s="426"/>
      <c r="AF128" s="426"/>
      <c r="AG128" s="426"/>
      <c r="AH128" s="426"/>
      <c r="AI128" s="426"/>
      <c r="AJ128" s="426"/>
      <c r="AK128" s="426"/>
      <c r="AL128" s="426"/>
      <c r="AM128" s="426"/>
      <c r="AN128" s="426"/>
      <c r="AO128" s="426"/>
      <c r="AP128" s="426"/>
      <c r="AQ128" s="426"/>
      <c r="AR128" s="585" t="s">
        <v>792</v>
      </c>
      <c r="AS128" s="426"/>
      <c r="AT128" s="426"/>
      <c r="AU128" s="426"/>
      <c r="AV128" s="585" t="s">
        <v>792</v>
      </c>
      <c r="AW128" s="426"/>
      <c r="AX128" s="426"/>
      <c r="AY128" s="426"/>
      <c r="AZ128" s="428"/>
    </row>
    <row r="129" spans="2:52" ht="14.4" outlineLevel="1" x14ac:dyDescent="0.3">
      <c r="B129" s="425">
        <f t="shared" si="2"/>
        <v>28</v>
      </c>
      <c r="C129" s="95" t="s">
        <v>205</v>
      </c>
      <c r="D129" s="429" t="s">
        <v>1039</v>
      </c>
      <c r="E129" s="429" t="s">
        <v>794</v>
      </c>
      <c r="F129" s="429" t="s">
        <v>677</v>
      </c>
      <c r="G129" s="91">
        <v>1932.69</v>
      </c>
      <c r="H129" s="486">
        <v>2289</v>
      </c>
      <c r="I129" s="585" t="s">
        <v>792</v>
      </c>
      <c r="J129" s="426"/>
      <c r="K129" s="426"/>
      <c r="L129" s="426"/>
      <c r="M129" s="585" t="s">
        <v>792</v>
      </c>
      <c r="N129" s="426"/>
      <c r="O129" s="426"/>
      <c r="P129" s="426"/>
      <c r="Q129" s="426"/>
      <c r="R129" s="426"/>
      <c r="S129" s="426"/>
      <c r="T129" s="426"/>
      <c r="U129" s="426"/>
      <c r="V129" s="426"/>
      <c r="W129" s="426"/>
      <c r="X129" s="426"/>
      <c r="Y129" s="426"/>
      <c r="Z129" s="426"/>
      <c r="AA129" s="426"/>
      <c r="AB129" s="426"/>
      <c r="AC129" s="426"/>
      <c r="AD129" s="426"/>
      <c r="AE129" s="426"/>
      <c r="AF129" s="426"/>
      <c r="AG129" s="426"/>
      <c r="AH129" s="426"/>
      <c r="AI129" s="426"/>
      <c r="AJ129" s="426"/>
      <c r="AK129" s="426"/>
      <c r="AL129" s="426"/>
      <c r="AM129" s="426"/>
      <c r="AN129" s="426"/>
      <c r="AO129" s="426"/>
      <c r="AP129" s="426"/>
      <c r="AQ129" s="426"/>
      <c r="AR129" s="585" t="s">
        <v>792</v>
      </c>
      <c r="AS129" s="426"/>
      <c r="AT129" s="426"/>
      <c r="AU129" s="426"/>
      <c r="AV129" s="585" t="s">
        <v>792</v>
      </c>
      <c r="AW129" s="426"/>
      <c r="AX129" s="426"/>
      <c r="AY129" s="426"/>
      <c r="AZ129" s="428"/>
    </row>
    <row r="130" spans="2:52" ht="14.4" outlineLevel="1" x14ac:dyDescent="0.3">
      <c r="B130" s="425">
        <f t="shared" si="2"/>
        <v>29</v>
      </c>
      <c r="C130" s="513" t="s">
        <v>187</v>
      </c>
      <c r="D130" s="429" t="s">
        <v>1039</v>
      </c>
      <c r="E130" s="429" t="s">
        <v>791</v>
      </c>
      <c r="F130" s="429" t="s">
        <v>677</v>
      </c>
      <c r="G130" s="91">
        <v>257.76</v>
      </c>
      <c r="H130" s="486">
        <v>299</v>
      </c>
      <c r="I130" s="585" t="s">
        <v>792</v>
      </c>
      <c r="J130" s="426"/>
      <c r="K130" s="426"/>
      <c r="L130" s="426"/>
      <c r="M130" s="585" t="s">
        <v>792</v>
      </c>
      <c r="N130" s="426"/>
      <c r="O130" s="426"/>
      <c r="P130" s="426"/>
      <c r="Q130" s="426"/>
      <c r="R130" s="426"/>
      <c r="S130" s="426"/>
      <c r="T130" s="426"/>
      <c r="U130" s="426"/>
      <c r="V130" s="426"/>
      <c r="W130" s="426"/>
      <c r="X130" s="426"/>
      <c r="Y130" s="426"/>
      <c r="Z130" s="426"/>
      <c r="AA130" s="426"/>
      <c r="AB130" s="426"/>
      <c r="AC130" s="426"/>
      <c r="AD130" s="426"/>
      <c r="AE130" s="426"/>
      <c r="AF130" s="426"/>
      <c r="AG130" s="426"/>
      <c r="AH130" s="426"/>
      <c r="AI130" s="426"/>
      <c r="AJ130" s="426"/>
      <c r="AK130" s="426"/>
      <c r="AL130" s="426"/>
      <c r="AM130" s="426"/>
      <c r="AN130" s="426"/>
      <c r="AO130" s="426"/>
      <c r="AP130" s="426"/>
      <c r="AQ130" s="426"/>
      <c r="AR130" s="585" t="s">
        <v>792</v>
      </c>
      <c r="AS130" s="426"/>
      <c r="AT130" s="426"/>
      <c r="AU130" s="426"/>
      <c r="AV130" s="585" t="s">
        <v>792</v>
      </c>
      <c r="AW130" s="426"/>
      <c r="AX130" s="426"/>
      <c r="AY130" s="426"/>
      <c r="AZ130" s="428"/>
    </row>
    <row r="131" spans="2:52" ht="14.4" outlineLevel="1" x14ac:dyDescent="0.3">
      <c r="B131" s="425">
        <f t="shared" si="2"/>
        <v>30</v>
      </c>
      <c r="C131" s="95" t="s">
        <v>189</v>
      </c>
      <c r="D131" s="429" t="s">
        <v>1039</v>
      </c>
      <c r="E131" s="429" t="s">
        <v>791</v>
      </c>
      <c r="F131" s="429" t="s">
        <v>677</v>
      </c>
      <c r="G131" s="91">
        <v>300.86</v>
      </c>
      <c r="H131" s="486">
        <v>348.99759999999998</v>
      </c>
      <c r="I131" s="585" t="s">
        <v>792</v>
      </c>
      <c r="J131" s="426"/>
      <c r="K131" s="426"/>
      <c r="L131" s="426"/>
      <c r="M131" s="585" t="s">
        <v>792</v>
      </c>
      <c r="N131" s="426"/>
      <c r="O131" s="426"/>
      <c r="P131" s="426"/>
      <c r="Q131" s="426"/>
      <c r="R131" s="426"/>
      <c r="S131" s="426"/>
      <c r="T131" s="426"/>
      <c r="U131" s="426"/>
      <c r="V131" s="426"/>
      <c r="W131" s="426"/>
      <c r="X131" s="426"/>
      <c r="Y131" s="426"/>
      <c r="Z131" s="426"/>
      <c r="AA131" s="426"/>
      <c r="AB131" s="426"/>
      <c r="AC131" s="426"/>
      <c r="AD131" s="426"/>
      <c r="AE131" s="426"/>
      <c r="AF131" s="426"/>
      <c r="AG131" s="426"/>
      <c r="AH131" s="426"/>
      <c r="AI131" s="426"/>
      <c r="AJ131" s="426"/>
      <c r="AK131" s="426"/>
      <c r="AL131" s="426"/>
      <c r="AM131" s="426"/>
      <c r="AN131" s="426"/>
      <c r="AO131" s="426"/>
      <c r="AP131" s="426"/>
      <c r="AQ131" s="426"/>
      <c r="AR131" s="585" t="s">
        <v>792</v>
      </c>
      <c r="AS131" s="426"/>
      <c r="AT131" s="426"/>
      <c r="AU131" s="426"/>
      <c r="AV131" s="585" t="s">
        <v>792</v>
      </c>
      <c r="AW131" s="426"/>
      <c r="AX131" s="426"/>
      <c r="AY131" s="426"/>
      <c r="AZ131" s="428"/>
    </row>
    <row r="132" spans="2:52" ht="14.4" outlineLevel="1" x14ac:dyDescent="0.3">
      <c r="B132" s="425">
        <f t="shared" si="2"/>
        <v>31</v>
      </c>
      <c r="C132" s="95" t="s">
        <v>191</v>
      </c>
      <c r="D132" s="429" t="s">
        <v>1039</v>
      </c>
      <c r="E132" s="429" t="s">
        <v>791</v>
      </c>
      <c r="F132" s="429" t="s">
        <v>677</v>
      </c>
      <c r="G132" s="91">
        <v>343.97</v>
      </c>
      <c r="H132" s="486">
        <v>398.99520000000001</v>
      </c>
      <c r="I132" s="585" t="s">
        <v>792</v>
      </c>
      <c r="J132" s="426"/>
      <c r="K132" s="426"/>
      <c r="L132" s="426"/>
      <c r="M132" s="585" t="s">
        <v>792</v>
      </c>
      <c r="N132" s="426"/>
      <c r="O132" s="426"/>
      <c r="P132" s="426"/>
      <c r="Q132" s="426"/>
      <c r="R132" s="426"/>
      <c r="S132" s="426"/>
      <c r="T132" s="426"/>
      <c r="U132" s="426"/>
      <c r="V132" s="426"/>
      <c r="W132" s="426"/>
      <c r="X132" s="426"/>
      <c r="Y132" s="426"/>
      <c r="Z132" s="426"/>
      <c r="AA132" s="426"/>
      <c r="AB132" s="426"/>
      <c r="AC132" s="426"/>
      <c r="AD132" s="426"/>
      <c r="AE132" s="426"/>
      <c r="AF132" s="426"/>
      <c r="AG132" s="426"/>
      <c r="AH132" s="426"/>
      <c r="AI132" s="426"/>
      <c r="AJ132" s="426"/>
      <c r="AK132" s="426"/>
      <c r="AL132" s="426"/>
      <c r="AM132" s="426"/>
      <c r="AN132" s="426"/>
      <c r="AO132" s="426"/>
      <c r="AP132" s="426"/>
      <c r="AQ132" s="426"/>
      <c r="AR132" s="585" t="s">
        <v>792</v>
      </c>
      <c r="AS132" s="426"/>
      <c r="AT132" s="426"/>
      <c r="AU132" s="426"/>
      <c r="AV132" s="585" t="s">
        <v>792</v>
      </c>
      <c r="AW132" s="426"/>
      <c r="AX132" s="426"/>
      <c r="AY132" s="426"/>
      <c r="AZ132" s="428"/>
    </row>
    <row r="133" spans="2:52" ht="14.4" outlineLevel="1" x14ac:dyDescent="0.3">
      <c r="B133" s="425">
        <f t="shared" si="2"/>
        <v>32</v>
      </c>
      <c r="C133" s="95" t="s">
        <v>192</v>
      </c>
      <c r="D133" s="429" t="s">
        <v>1039</v>
      </c>
      <c r="E133" s="429" t="s">
        <v>791</v>
      </c>
      <c r="F133" s="429" t="s">
        <v>677</v>
      </c>
      <c r="G133" s="91">
        <v>387.07</v>
      </c>
      <c r="H133" s="486">
        <v>449</v>
      </c>
      <c r="I133" s="585" t="s">
        <v>792</v>
      </c>
      <c r="J133" s="426"/>
      <c r="K133" s="426"/>
      <c r="L133" s="426"/>
      <c r="M133" s="585" t="s">
        <v>792</v>
      </c>
      <c r="N133" s="426"/>
      <c r="O133" s="426"/>
      <c r="P133" s="426"/>
      <c r="Q133" s="426"/>
      <c r="R133" s="426"/>
      <c r="S133" s="426"/>
      <c r="T133" s="426"/>
      <c r="U133" s="426"/>
      <c r="V133" s="426"/>
      <c r="W133" s="426"/>
      <c r="X133" s="426"/>
      <c r="Y133" s="426"/>
      <c r="Z133" s="426"/>
      <c r="AA133" s="426"/>
      <c r="AB133" s="426"/>
      <c r="AC133" s="426"/>
      <c r="AD133" s="426"/>
      <c r="AE133" s="426"/>
      <c r="AF133" s="426"/>
      <c r="AG133" s="426"/>
      <c r="AH133" s="426"/>
      <c r="AI133" s="426"/>
      <c r="AJ133" s="426"/>
      <c r="AK133" s="426"/>
      <c r="AL133" s="426"/>
      <c r="AM133" s="426"/>
      <c r="AN133" s="426"/>
      <c r="AO133" s="426"/>
      <c r="AP133" s="426"/>
      <c r="AQ133" s="426"/>
      <c r="AR133" s="585" t="s">
        <v>792</v>
      </c>
      <c r="AS133" s="426"/>
      <c r="AT133" s="426"/>
      <c r="AU133" s="426"/>
      <c r="AV133" s="585" t="s">
        <v>792</v>
      </c>
      <c r="AW133" s="426"/>
      <c r="AX133" s="426"/>
      <c r="AY133" s="426"/>
      <c r="AZ133" s="428"/>
    </row>
    <row r="134" spans="2:52" ht="14.4" outlineLevel="1" x14ac:dyDescent="0.3">
      <c r="B134" s="425">
        <f t="shared" si="2"/>
        <v>33</v>
      </c>
      <c r="C134" s="95" t="s">
        <v>1040</v>
      </c>
      <c r="D134" s="429" t="s">
        <v>1039</v>
      </c>
      <c r="E134" s="429" t="s">
        <v>791</v>
      </c>
      <c r="F134" s="429" t="s">
        <v>677</v>
      </c>
      <c r="G134" s="91">
        <v>430.17</v>
      </c>
      <c r="H134" s="486">
        <v>499</v>
      </c>
      <c r="I134" s="585" t="s">
        <v>792</v>
      </c>
      <c r="J134" s="426"/>
      <c r="K134" s="426"/>
      <c r="L134" s="426"/>
      <c r="M134" s="585" t="s">
        <v>792</v>
      </c>
      <c r="N134" s="426"/>
      <c r="O134" s="426"/>
      <c r="P134" s="426"/>
      <c r="Q134" s="426"/>
      <c r="R134" s="426"/>
      <c r="S134" s="426"/>
      <c r="T134" s="426"/>
      <c r="U134" s="426"/>
      <c r="V134" s="426"/>
      <c r="W134" s="426"/>
      <c r="X134" s="426"/>
      <c r="Y134" s="426"/>
      <c r="Z134" s="426"/>
      <c r="AA134" s="426"/>
      <c r="AB134" s="426"/>
      <c r="AC134" s="426"/>
      <c r="AD134" s="426"/>
      <c r="AE134" s="426"/>
      <c r="AF134" s="426"/>
      <c r="AG134" s="426"/>
      <c r="AH134" s="426"/>
      <c r="AI134" s="426"/>
      <c r="AJ134" s="426"/>
      <c r="AK134" s="426"/>
      <c r="AL134" s="426"/>
      <c r="AM134" s="426"/>
      <c r="AN134" s="426"/>
      <c r="AO134" s="426"/>
      <c r="AP134" s="426"/>
      <c r="AQ134" s="426"/>
      <c r="AR134" s="585" t="s">
        <v>792</v>
      </c>
      <c r="AS134" s="426"/>
      <c r="AT134" s="426"/>
      <c r="AU134" s="426"/>
      <c r="AV134" s="585" t="s">
        <v>792</v>
      </c>
      <c r="AW134" s="426"/>
      <c r="AX134" s="426"/>
      <c r="AY134" s="426"/>
      <c r="AZ134" s="428"/>
    </row>
    <row r="135" spans="2:52" ht="14.4" outlineLevel="1" x14ac:dyDescent="0.3">
      <c r="B135" s="425">
        <f t="shared" si="2"/>
        <v>34</v>
      </c>
      <c r="C135" s="95" t="s">
        <v>193</v>
      </c>
      <c r="D135" s="429" t="s">
        <v>1039</v>
      </c>
      <c r="E135" s="429" t="s">
        <v>791</v>
      </c>
      <c r="F135" s="429" t="s">
        <v>677</v>
      </c>
      <c r="G135" s="91">
        <v>473.28</v>
      </c>
      <c r="H135" s="486">
        <v>549</v>
      </c>
      <c r="I135" s="585" t="s">
        <v>792</v>
      </c>
      <c r="J135" s="426"/>
      <c r="K135" s="426"/>
      <c r="L135" s="426"/>
      <c r="M135" s="585" t="s">
        <v>792</v>
      </c>
      <c r="N135" s="426"/>
      <c r="O135" s="426"/>
      <c r="P135" s="426"/>
      <c r="Q135" s="426"/>
      <c r="R135" s="426"/>
      <c r="S135" s="426"/>
      <c r="T135" s="426"/>
      <c r="U135" s="426"/>
      <c r="V135" s="426"/>
      <c r="W135" s="426"/>
      <c r="X135" s="426"/>
      <c r="Y135" s="426"/>
      <c r="Z135" s="426"/>
      <c r="AA135" s="426"/>
      <c r="AB135" s="426"/>
      <c r="AC135" s="426"/>
      <c r="AD135" s="426"/>
      <c r="AE135" s="426"/>
      <c r="AF135" s="426"/>
      <c r="AG135" s="426"/>
      <c r="AH135" s="426"/>
      <c r="AI135" s="426"/>
      <c r="AJ135" s="426"/>
      <c r="AK135" s="426"/>
      <c r="AL135" s="426"/>
      <c r="AM135" s="426"/>
      <c r="AN135" s="426"/>
      <c r="AO135" s="426"/>
      <c r="AP135" s="426"/>
      <c r="AQ135" s="426"/>
      <c r="AR135" s="585" t="s">
        <v>792</v>
      </c>
      <c r="AS135" s="426"/>
      <c r="AT135" s="426"/>
      <c r="AU135" s="426"/>
      <c r="AV135" s="585" t="s">
        <v>792</v>
      </c>
      <c r="AW135" s="426"/>
      <c r="AX135" s="426"/>
      <c r="AY135" s="426"/>
      <c r="AZ135" s="428"/>
    </row>
    <row r="136" spans="2:52" ht="14.4" outlineLevel="1" x14ac:dyDescent="0.3">
      <c r="B136" s="425">
        <f t="shared" si="2"/>
        <v>35</v>
      </c>
      <c r="C136" s="95" t="s">
        <v>1041</v>
      </c>
      <c r="D136" s="429" t="s">
        <v>1039</v>
      </c>
      <c r="E136" s="429" t="s">
        <v>791</v>
      </c>
      <c r="F136" s="429" t="s">
        <v>677</v>
      </c>
      <c r="G136" s="91">
        <v>559.48</v>
      </c>
      <c r="H136" s="486">
        <v>649</v>
      </c>
      <c r="I136" s="585" t="s">
        <v>792</v>
      </c>
      <c r="J136" s="426"/>
      <c r="K136" s="426"/>
      <c r="L136" s="426"/>
      <c r="M136" s="585" t="s">
        <v>792</v>
      </c>
      <c r="N136" s="426"/>
      <c r="O136" s="426"/>
      <c r="P136" s="426"/>
      <c r="Q136" s="426"/>
      <c r="R136" s="426"/>
      <c r="S136" s="426"/>
      <c r="T136" s="426"/>
      <c r="U136" s="426"/>
      <c r="V136" s="426"/>
      <c r="W136" s="426"/>
      <c r="X136" s="426"/>
      <c r="Y136" s="426"/>
      <c r="Z136" s="426"/>
      <c r="AA136" s="426"/>
      <c r="AB136" s="426"/>
      <c r="AC136" s="426"/>
      <c r="AD136" s="426"/>
      <c r="AE136" s="426"/>
      <c r="AF136" s="426"/>
      <c r="AG136" s="426"/>
      <c r="AH136" s="426"/>
      <c r="AI136" s="426"/>
      <c r="AJ136" s="426"/>
      <c r="AK136" s="426"/>
      <c r="AL136" s="426"/>
      <c r="AM136" s="426"/>
      <c r="AN136" s="426"/>
      <c r="AO136" s="426"/>
      <c r="AP136" s="426"/>
      <c r="AQ136" s="426"/>
      <c r="AR136" s="585" t="s">
        <v>792</v>
      </c>
      <c r="AS136" s="426"/>
      <c r="AT136" s="426"/>
      <c r="AU136" s="426"/>
      <c r="AV136" s="585" t="s">
        <v>792</v>
      </c>
      <c r="AW136" s="426"/>
      <c r="AX136" s="426"/>
      <c r="AY136" s="426"/>
      <c r="AZ136" s="428"/>
    </row>
    <row r="137" spans="2:52" ht="14.4" outlineLevel="1" x14ac:dyDescent="0.3">
      <c r="B137" s="425">
        <f t="shared" si="2"/>
        <v>36</v>
      </c>
      <c r="C137" s="95" t="s">
        <v>195</v>
      </c>
      <c r="D137" s="429" t="s">
        <v>1039</v>
      </c>
      <c r="E137" s="429" t="s">
        <v>791</v>
      </c>
      <c r="F137" s="429" t="s">
        <v>677</v>
      </c>
      <c r="G137" s="91">
        <v>775</v>
      </c>
      <c r="H137" s="486">
        <v>898.99999999999989</v>
      </c>
      <c r="I137" s="585" t="s">
        <v>792</v>
      </c>
      <c r="J137" s="426"/>
      <c r="K137" s="426"/>
      <c r="L137" s="426"/>
      <c r="M137" s="585" t="s">
        <v>792</v>
      </c>
      <c r="N137" s="426"/>
      <c r="O137" s="426"/>
      <c r="P137" s="426"/>
      <c r="Q137" s="426"/>
      <c r="R137" s="426"/>
      <c r="S137" s="426"/>
      <c r="T137" s="426"/>
      <c r="U137" s="426"/>
      <c r="V137" s="426"/>
      <c r="W137" s="426"/>
      <c r="X137" s="426"/>
      <c r="Y137" s="426"/>
      <c r="Z137" s="426"/>
      <c r="AA137" s="426"/>
      <c r="AB137" s="426"/>
      <c r="AC137" s="426"/>
      <c r="AD137" s="426"/>
      <c r="AE137" s="426"/>
      <c r="AF137" s="426"/>
      <c r="AG137" s="426"/>
      <c r="AH137" s="426"/>
      <c r="AI137" s="426"/>
      <c r="AJ137" s="426"/>
      <c r="AK137" s="426"/>
      <c r="AL137" s="426"/>
      <c r="AM137" s="426"/>
      <c r="AN137" s="426"/>
      <c r="AO137" s="426"/>
      <c r="AP137" s="426"/>
      <c r="AQ137" s="426"/>
      <c r="AR137" s="585" t="s">
        <v>792</v>
      </c>
      <c r="AS137" s="426"/>
      <c r="AT137" s="426"/>
      <c r="AU137" s="426"/>
      <c r="AV137" s="585" t="s">
        <v>792</v>
      </c>
      <c r="AW137" s="426"/>
      <c r="AX137" s="426"/>
      <c r="AY137" s="426"/>
      <c r="AZ137" s="428"/>
    </row>
    <row r="138" spans="2:52" ht="14.4" outlineLevel="1" x14ac:dyDescent="0.3">
      <c r="B138" s="425">
        <f t="shared" si="2"/>
        <v>37</v>
      </c>
      <c r="C138" s="95" t="s">
        <v>197</v>
      </c>
      <c r="D138" s="429" t="s">
        <v>351</v>
      </c>
      <c r="E138" s="429" t="s">
        <v>791</v>
      </c>
      <c r="F138" s="429" t="s">
        <v>677</v>
      </c>
      <c r="G138" s="91">
        <v>349</v>
      </c>
      <c r="H138" s="486">
        <v>404.84</v>
      </c>
      <c r="I138" s="585" t="s">
        <v>792</v>
      </c>
      <c r="J138" s="426"/>
      <c r="K138" s="426"/>
      <c r="L138" s="426"/>
      <c r="M138" s="585" t="s">
        <v>792</v>
      </c>
      <c r="N138" s="426"/>
      <c r="O138" s="426"/>
      <c r="P138" s="426"/>
      <c r="Q138" s="426"/>
      <c r="R138" s="426"/>
      <c r="S138" s="426"/>
      <c r="T138" s="426"/>
      <c r="U138" s="426"/>
      <c r="V138" s="426"/>
      <c r="W138" s="426"/>
      <c r="X138" s="426"/>
      <c r="Y138" s="426"/>
      <c r="Z138" s="426"/>
      <c r="AA138" s="426"/>
      <c r="AB138" s="426"/>
      <c r="AC138" s="426"/>
      <c r="AD138" s="426"/>
      <c r="AE138" s="426"/>
      <c r="AF138" s="426"/>
      <c r="AG138" s="426"/>
      <c r="AH138" s="426"/>
      <c r="AI138" s="426"/>
      <c r="AJ138" s="426"/>
      <c r="AK138" s="426"/>
      <c r="AL138" s="426"/>
      <c r="AM138" s="426"/>
      <c r="AN138" s="426"/>
      <c r="AO138" s="426"/>
      <c r="AP138" s="426"/>
      <c r="AQ138" s="426"/>
      <c r="AR138" s="585" t="s">
        <v>792</v>
      </c>
      <c r="AS138" s="426"/>
      <c r="AT138" s="426"/>
      <c r="AU138" s="426"/>
      <c r="AV138" s="585" t="s">
        <v>792</v>
      </c>
      <c r="AW138" s="426"/>
      <c r="AX138" s="426"/>
      <c r="AY138" s="426"/>
      <c r="AZ138" s="428"/>
    </row>
    <row r="139" spans="2:52" ht="14.4" outlineLevel="1" x14ac:dyDescent="0.3">
      <c r="B139" s="425">
        <f t="shared" si="2"/>
        <v>38</v>
      </c>
      <c r="C139" s="95" t="s">
        <v>199</v>
      </c>
      <c r="D139" s="429" t="s">
        <v>351</v>
      </c>
      <c r="E139" s="429" t="s">
        <v>791</v>
      </c>
      <c r="F139" s="429" t="s">
        <v>677</v>
      </c>
      <c r="G139" s="91">
        <v>608.69000000000005</v>
      </c>
      <c r="H139" s="486">
        <v>706.08</v>
      </c>
      <c r="I139" s="585" t="s">
        <v>792</v>
      </c>
      <c r="J139" s="426"/>
      <c r="K139" s="426"/>
      <c r="L139" s="426"/>
      <c r="M139" s="585" t="s">
        <v>792</v>
      </c>
      <c r="N139" s="426"/>
      <c r="O139" s="426"/>
      <c r="P139" s="426"/>
      <c r="Q139" s="426"/>
      <c r="R139" s="426"/>
      <c r="S139" s="426"/>
      <c r="T139" s="426"/>
      <c r="U139" s="426"/>
      <c r="V139" s="426"/>
      <c r="W139" s="426"/>
      <c r="X139" s="426"/>
      <c r="Y139" s="426"/>
      <c r="Z139" s="426"/>
      <c r="AA139" s="426"/>
      <c r="AB139" s="426"/>
      <c r="AC139" s="426"/>
      <c r="AD139" s="426"/>
      <c r="AE139" s="426"/>
      <c r="AF139" s="426"/>
      <c r="AG139" s="426"/>
      <c r="AH139" s="426"/>
      <c r="AI139" s="426"/>
      <c r="AJ139" s="426"/>
      <c r="AK139" s="426"/>
      <c r="AL139" s="426"/>
      <c r="AM139" s="426"/>
      <c r="AN139" s="426"/>
      <c r="AO139" s="426"/>
      <c r="AP139" s="426"/>
      <c r="AQ139" s="426"/>
      <c r="AR139" s="585" t="s">
        <v>792</v>
      </c>
      <c r="AS139" s="426"/>
      <c r="AT139" s="426"/>
      <c r="AU139" s="426"/>
      <c r="AV139" s="585" t="s">
        <v>792</v>
      </c>
      <c r="AW139" s="426"/>
      <c r="AX139" s="426"/>
      <c r="AY139" s="426"/>
      <c r="AZ139" s="428"/>
    </row>
    <row r="140" spans="2:52" ht="14.4" outlineLevel="1" x14ac:dyDescent="0.3">
      <c r="B140" s="425">
        <f t="shared" si="2"/>
        <v>39</v>
      </c>
      <c r="C140" s="95" t="s">
        <v>201</v>
      </c>
      <c r="D140" s="429" t="s">
        <v>351</v>
      </c>
      <c r="E140" s="429" t="s">
        <v>791</v>
      </c>
      <c r="F140" s="429" t="s">
        <v>677</v>
      </c>
      <c r="G140" s="91">
        <v>1042.5999999999999</v>
      </c>
      <c r="H140" s="486">
        <v>1209.42</v>
      </c>
      <c r="I140" s="585" t="s">
        <v>792</v>
      </c>
      <c r="J140" s="426"/>
      <c r="K140" s="426"/>
      <c r="L140" s="426"/>
      <c r="M140" s="585" t="s">
        <v>792</v>
      </c>
      <c r="N140" s="426"/>
      <c r="O140" s="426"/>
      <c r="P140" s="426"/>
      <c r="Q140" s="426"/>
      <c r="R140" s="426"/>
      <c r="S140" s="426"/>
      <c r="T140" s="426"/>
      <c r="U140" s="426"/>
      <c r="V140" s="426"/>
      <c r="W140" s="426"/>
      <c r="X140" s="426"/>
      <c r="Y140" s="426"/>
      <c r="Z140" s="426"/>
      <c r="AA140" s="426"/>
      <c r="AB140" s="426"/>
      <c r="AC140" s="426"/>
      <c r="AD140" s="426"/>
      <c r="AE140" s="426"/>
      <c r="AF140" s="426"/>
      <c r="AG140" s="426"/>
      <c r="AH140" s="426"/>
      <c r="AI140" s="426"/>
      <c r="AJ140" s="426"/>
      <c r="AK140" s="426"/>
      <c r="AL140" s="426"/>
      <c r="AM140" s="426"/>
      <c r="AN140" s="426"/>
      <c r="AO140" s="426"/>
      <c r="AP140" s="426"/>
      <c r="AQ140" s="426"/>
      <c r="AR140" s="585" t="s">
        <v>792</v>
      </c>
      <c r="AS140" s="426"/>
      <c r="AT140" s="426"/>
      <c r="AU140" s="426"/>
      <c r="AV140" s="585" t="s">
        <v>792</v>
      </c>
      <c r="AW140" s="426"/>
      <c r="AX140" s="426"/>
      <c r="AY140" s="426"/>
      <c r="AZ140" s="428"/>
    </row>
    <row r="141" spans="2:52" ht="14.4" outlineLevel="1" x14ac:dyDescent="0.3">
      <c r="B141" s="425">
        <f t="shared" si="2"/>
        <v>40</v>
      </c>
      <c r="C141" s="95" t="s">
        <v>500</v>
      </c>
      <c r="D141" s="429" t="s">
        <v>351</v>
      </c>
      <c r="E141" s="429" t="s">
        <v>794</v>
      </c>
      <c r="F141" s="429" t="s">
        <v>677</v>
      </c>
      <c r="G141" s="91">
        <v>1610.49</v>
      </c>
      <c r="H141" s="486">
        <v>1899.0028</v>
      </c>
      <c r="I141" s="585" t="s">
        <v>792</v>
      </c>
      <c r="J141" s="426"/>
      <c r="K141" s="426"/>
      <c r="L141" s="426"/>
      <c r="M141" s="585" t="s">
        <v>792</v>
      </c>
      <c r="N141" s="426"/>
      <c r="O141" s="426"/>
      <c r="P141" s="426"/>
      <c r="Q141" s="426"/>
      <c r="R141" s="426"/>
      <c r="S141" s="426"/>
      <c r="T141" s="426"/>
      <c r="U141" s="426"/>
      <c r="V141" s="426"/>
      <c r="W141" s="426"/>
      <c r="X141" s="426"/>
      <c r="Y141" s="426"/>
      <c r="Z141" s="426"/>
      <c r="AA141" s="426"/>
      <c r="AB141" s="426"/>
      <c r="AC141" s="426"/>
      <c r="AD141" s="426"/>
      <c r="AE141" s="426"/>
      <c r="AF141" s="426"/>
      <c r="AG141" s="426"/>
      <c r="AH141" s="426"/>
      <c r="AI141" s="426"/>
      <c r="AJ141" s="426"/>
      <c r="AK141" s="426"/>
      <c r="AL141" s="426"/>
      <c r="AM141" s="426"/>
      <c r="AN141" s="426"/>
      <c r="AO141" s="426"/>
      <c r="AP141" s="426"/>
      <c r="AQ141" s="426"/>
      <c r="AR141" s="585" t="s">
        <v>792</v>
      </c>
      <c r="AS141" s="426"/>
      <c r="AT141" s="426"/>
      <c r="AU141" s="426"/>
      <c r="AV141" s="585" t="s">
        <v>792</v>
      </c>
      <c r="AW141" s="426"/>
      <c r="AX141" s="426"/>
      <c r="AY141" s="426"/>
      <c r="AZ141" s="428"/>
    </row>
    <row r="142" spans="2:52" ht="14.4" outlineLevel="1" x14ac:dyDescent="0.3">
      <c r="B142" s="425">
        <f t="shared" si="2"/>
        <v>41</v>
      </c>
      <c r="C142" s="95" t="s">
        <v>502</v>
      </c>
      <c r="D142" s="429" t="s">
        <v>351</v>
      </c>
      <c r="E142" s="429" t="s">
        <v>794</v>
      </c>
      <c r="F142" s="429" t="s">
        <v>677</v>
      </c>
      <c r="G142" s="91">
        <v>1898.45</v>
      </c>
      <c r="H142" s="486">
        <v>2238.9987999999998</v>
      </c>
      <c r="I142" s="585" t="s">
        <v>792</v>
      </c>
      <c r="J142" s="426"/>
      <c r="K142" s="426"/>
      <c r="L142" s="426"/>
      <c r="M142" s="585" t="s">
        <v>792</v>
      </c>
      <c r="N142" s="426"/>
      <c r="O142" s="426"/>
      <c r="P142" s="426"/>
      <c r="Q142" s="426"/>
      <c r="R142" s="426"/>
      <c r="S142" s="426"/>
      <c r="T142" s="426"/>
      <c r="U142" s="426"/>
      <c r="V142" s="426"/>
      <c r="W142" s="426"/>
      <c r="X142" s="426"/>
      <c r="Y142" s="426"/>
      <c r="Z142" s="426"/>
      <c r="AA142" s="426"/>
      <c r="AB142" s="426"/>
      <c r="AC142" s="426"/>
      <c r="AD142" s="426"/>
      <c r="AE142" s="426"/>
      <c r="AF142" s="426"/>
      <c r="AG142" s="426"/>
      <c r="AH142" s="426"/>
      <c r="AI142" s="426"/>
      <c r="AJ142" s="426"/>
      <c r="AK142" s="426"/>
      <c r="AL142" s="426"/>
      <c r="AM142" s="426"/>
      <c r="AN142" s="426"/>
      <c r="AO142" s="426"/>
      <c r="AP142" s="426"/>
      <c r="AQ142" s="426"/>
      <c r="AR142" s="585" t="s">
        <v>792</v>
      </c>
      <c r="AS142" s="426"/>
      <c r="AT142" s="426"/>
      <c r="AU142" s="426"/>
      <c r="AV142" s="585" t="s">
        <v>792</v>
      </c>
      <c r="AW142" s="426"/>
      <c r="AX142" s="426"/>
      <c r="AY142" s="426"/>
      <c r="AZ142" s="428"/>
    </row>
    <row r="143" spans="2:52" ht="14.4" outlineLevel="1" x14ac:dyDescent="0.3">
      <c r="B143" s="425">
        <f t="shared" si="2"/>
        <v>42</v>
      </c>
      <c r="C143" s="95" t="s">
        <v>504</v>
      </c>
      <c r="D143" s="429" t="s">
        <v>351</v>
      </c>
      <c r="E143" s="429" t="s">
        <v>794</v>
      </c>
      <c r="F143" s="429" t="s">
        <v>677</v>
      </c>
      <c r="G143" s="91">
        <v>2363.7200000000003</v>
      </c>
      <c r="H143" s="486">
        <v>2789.0047999999997</v>
      </c>
      <c r="I143" s="585" t="s">
        <v>792</v>
      </c>
      <c r="J143" s="426"/>
      <c r="K143" s="426"/>
      <c r="L143" s="426"/>
      <c r="M143" s="585" t="s">
        <v>792</v>
      </c>
      <c r="N143" s="426"/>
      <c r="O143" s="426"/>
      <c r="P143" s="426"/>
      <c r="Q143" s="426"/>
      <c r="R143" s="426"/>
      <c r="S143" s="426"/>
      <c r="T143" s="426"/>
      <c r="U143" s="426"/>
      <c r="V143" s="426"/>
      <c r="W143" s="426"/>
      <c r="X143" s="426"/>
      <c r="Y143" s="426"/>
      <c r="Z143" s="426"/>
      <c r="AA143" s="426"/>
      <c r="AB143" s="426"/>
      <c r="AC143" s="426"/>
      <c r="AD143" s="426"/>
      <c r="AE143" s="426"/>
      <c r="AF143" s="426"/>
      <c r="AG143" s="426"/>
      <c r="AH143" s="426"/>
      <c r="AI143" s="426"/>
      <c r="AJ143" s="426"/>
      <c r="AK143" s="426"/>
      <c r="AL143" s="426"/>
      <c r="AM143" s="426"/>
      <c r="AN143" s="426"/>
      <c r="AO143" s="426"/>
      <c r="AP143" s="426"/>
      <c r="AQ143" s="426"/>
      <c r="AR143" s="585" t="s">
        <v>792</v>
      </c>
      <c r="AS143" s="426"/>
      <c r="AT143" s="426"/>
      <c r="AU143" s="426"/>
      <c r="AV143" s="585" t="s">
        <v>792</v>
      </c>
      <c r="AW143" s="426"/>
      <c r="AX143" s="426"/>
      <c r="AY143" s="426"/>
      <c r="AZ143" s="428"/>
    </row>
    <row r="144" spans="2:52" ht="14.4" hidden="1" outlineLevel="1" x14ac:dyDescent="0.3">
      <c r="B144" s="425">
        <f t="shared" si="2"/>
        <v>43</v>
      </c>
      <c r="C144" s="95" t="s">
        <v>456</v>
      </c>
      <c r="D144" s="429" t="s">
        <v>796</v>
      </c>
      <c r="E144" s="429" t="s">
        <v>797</v>
      </c>
      <c r="F144" s="429" t="s">
        <v>1042</v>
      </c>
      <c r="G144" s="91"/>
      <c r="H144" s="91"/>
      <c r="I144" s="91" t="s">
        <v>792</v>
      </c>
      <c r="J144" s="426"/>
      <c r="K144" s="426"/>
      <c r="L144" s="426"/>
      <c r="M144" s="91" t="s">
        <v>792</v>
      </c>
      <c r="N144" s="426"/>
      <c r="O144" s="426"/>
      <c r="P144" s="426"/>
      <c r="Q144" s="426"/>
      <c r="R144" s="426"/>
      <c r="S144" s="426"/>
      <c r="T144" s="426"/>
      <c r="U144" s="426"/>
      <c r="V144" s="426"/>
      <c r="W144" s="426"/>
      <c r="X144" s="426"/>
      <c r="Y144" s="426"/>
      <c r="Z144" s="426"/>
      <c r="AA144" s="426"/>
      <c r="AB144" s="426"/>
      <c r="AC144" s="426"/>
      <c r="AD144" s="426"/>
      <c r="AE144" s="426"/>
      <c r="AF144" s="426"/>
      <c r="AG144" s="426"/>
      <c r="AH144" s="426"/>
      <c r="AI144" s="426"/>
      <c r="AJ144" s="426"/>
      <c r="AK144" s="426"/>
      <c r="AL144" s="426"/>
      <c r="AM144" s="426"/>
      <c r="AN144" s="426"/>
      <c r="AO144" s="426"/>
      <c r="AP144" s="426"/>
      <c r="AQ144" s="426"/>
      <c r="AR144" s="91" t="s">
        <v>792</v>
      </c>
      <c r="AS144" s="426"/>
      <c r="AT144" s="426"/>
      <c r="AU144" s="426"/>
      <c r="AV144" s="91" t="s">
        <v>792</v>
      </c>
      <c r="AW144" s="426"/>
      <c r="AX144" s="426"/>
      <c r="AY144" s="426"/>
      <c r="AZ144" s="428"/>
    </row>
    <row r="145" spans="2:52" ht="14.4" hidden="1" outlineLevel="1" x14ac:dyDescent="0.3">
      <c r="B145" s="425">
        <f t="shared" si="2"/>
        <v>44</v>
      </c>
      <c r="C145" s="95" t="s">
        <v>456</v>
      </c>
      <c r="D145" s="429" t="s">
        <v>796</v>
      </c>
      <c r="E145" s="429" t="s">
        <v>797</v>
      </c>
      <c r="F145" s="429" t="s">
        <v>1042</v>
      </c>
      <c r="G145" s="91"/>
      <c r="H145" s="91"/>
      <c r="I145" s="91" t="s">
        <v>792</v>
      </c>
      <c r="J145" s="426"/>
      <c r="K145" s="426"/>
      <c r="L145" s="426"/>
      <c r="M145" s="91" t="s">
        <v>792</v>
      </c>
      <c r="N145" s="426"/>
      <c r="O145" s="426"/>
      <c r="P145" s="426"/>
      <c r="Q145" s="426"/>
      <c r="R145" s="426"/>
      <c r="S145" s="426"/>
      <c r="T145" s="426"/>
      <c r="U145" s="426"/>
      <c r="V145" s="426"/>
      <c r="W145" s="426"/>
      <c r="X145" s="426"/>
      <c r="Y145" s="426"/>
      <c r="Z145" s="426"/>
      <c r="AA145" s="426"/>
      <c r="AB145" s="426"/>
      <c r="AC145" s="426"/>
      <c r="AD145" s="426"/>
      <c r="AE145" s="426"/>
      <c r="AF145" s="426"/>
      <c r="AG145" s="426"/>
      <c r="AH145" s="426"/>
      <c r="AI145" s="426"/>
      <c r="AJ145" s="426"/>
      <c r="AK145" s="426"/>
      <c r="AL145" s="426"/>
      <c r="AM145" s="426"/>
      <c r="AN145" s="426"/>
      <c r="AO145" s="426"/>
      <c r="AP145" s="426"/>
      <c r="AQ145" s="426"/>
      <c r="AR145" s="91" t="s">
        <v>792</v>
      </c>
      <c r="AS145" s="426"/>
      <c r="AT145" s="426"/>
      <c r="AU145" s="426"/>
      <c r="AV145" s="91" t="s">
        <v>792</v>
      </c>
      <c r="AW145" s="426"/>
      <c r="AX145" s="426"/>
      <c r="AY145" s="426"/>
      <c r="AZ145" s="428"/>
    </row>
    <row r="146" spans="2:52" ht="14.4" hidden="1" outlineLevel="1" x14ac:dyDescent="0.3">
      <c r="B146" s="425">
        <f t="shared" si="2"/>
        <v>45</v>
      </c>
      <c r="C146" s="95" t="s">
        <v>456</v>
      </c>
      <c r="D146" s="429" t="s">
        <v>796</v>
      </c>
      <c r="E146" s="429" t="s">
        <v>797</v>
      </c>
      <c r="F146" s="429" t="s">
        <v>1042</v>
      </c>
      <c r="G146" s="91"/>
      <c r="H146" s="91"/>
      <c r="I146" s="91" t="s">
        <v>792</v>
      </c>
      <c r="J146" s="426"/>
      <c r="K146" s="426"/>
      <c r="L146" s="426"/>
      <c r="M146" s="91" t="s">
        <v>792</v>
      </c>
      <c r="N146" s="426"/>
      <c r="O146" s="426"/>
      <c r="P146" s="426"/>
      <c r="Q146" s="426"/>
      <c r="R146" s="426"/>
      <c r="S146" s="426"/>
      <c r="T146" s="426"/>
      <c r="U146" s="426"/>
      <c r="V146" s="426"/>
      <c r="W146" s="426"/>
      <c r="X146" s="426"/>
      <c r="Y146" s="426"/>
      <c r="Z146" s="426"/>
      <c r="AA146" s="426"/>
      <c r="AB146" s="426"/>
      <c r="AC146" s="426"/>
      <c r="AD146" s="426"/>
      <c r="AE146" s="426"/>
      <c r="AF146" s="426"/>
      <c r="AG146" s="426"/>
      <c r="AH146" s="426"/>
      <c r="AI146" s="426"/>
      <c r="AJ146" s="426"/>
      <c r="AK146" s="426"/>
      <c r="AL146" s="426"/>
      <c r="AM146" s="426"/>
      <c r="AN146" s="426"/>
      <c r="AO146" s="426"/>
      <c r="AP146" s="426"/>
      <c r="AQ146" s="426"/>
      <c r="AR146" s="91" t="s">
        <v>792</v>
      </c>
      <c r="AS146" s="426"/>
      <c r="AT146" s="426"/>
      <c r="AU146" s="426"/>
      <c r="AV146" s="91" t="s">
        <v>792</v>
      </c>
      <c r="AW146" s="426"/>
      <c r="AX146" s="426"/>
      <c r="AY146" s="426"/>
      <c r="AZ146" s="428"/>
    </row>
    <row r="147" spans="2:52" ht="14.4" hidden="1" outlineLevel="1" x14ac:dyDescent="0.3">
      <c r="B147" s="425">
        <f t="shared" si="2"/>
        <v>46</v>
      </c>
      <c r="C147" s="95" t="s">
        <v>456</v>
      </c>
      <c r="D147" s="429" t="s">
        <v>796</v>
      </c>
      <c r="E147" s="429" t="s">
        <v>797</v>
      </c>
      <c r="F147" s="429" t="s">
        <v>1042</v>
      </c>
      <c r="G147" s="91"/>
      <c r="H147" s="91"/>
      <c r="I147" s="91" t="s">
        <v>792</v>
      </c>
      <c r="J147" s="426"/>
      <c r="K147" s="426"/>
      <c r="L147" s="426"/>
      <c r="M147" s="91" t="s">
        <v>792</v>
      </c>
      <c r="N147" s="426"/>
      <c r="O147" s="426"/>
      <c r="P147" s="426"/>
      <c r="Q147" s="426"/>
      <c r="R147" s="426"/>
      <c r="S147" s="426"/>
      <c r="T147" s="426"/>
      <c r="U147" s="426"/>
      <c r="V147" s="426"/>
      <c r="W147" s="426"/>
      <c r="X147" s="426"/>
      <c r="Y147" s="426"/>
      <c r="Z147" s="426"/>
      <c r="AA147" s="426"/>
      <c r="AB147" s="426"/>
      <c r="AC147" s="426"/>
      <c r="AD147" s="426"/>
      <c r="AE147" s="426"/>
      <c r="AF147" s="426"/>
      <c r="AG147" s="426"/>
      <c r="AH147" s="426"/>
      <c r="AI147" s="426"/>
      <c r="AJ147" s="426"/>
      <c r="AK147" s="426"/>
      <c r="AL147" s="426"/>
      <c r="AM147" s="426"/>
      <c r="AN147" s="426"/>
      <c r="AO147" s="426"/>
      <c r="AP147" s="426"/>
      <c r="AQ147" s="426"/>
      <c r="AR147" s="91" t="s">
        <v>792</v>
      </c>
      <c r="AS147" s="426"/>
      <c r="AT147" s="426"/>
      <c r="AU147" s="426"/>
      <c r="AV147" s="91" t="s">
        <v>792</v>
      </c>
      <c r="AW147" s="426"/>
      <c r="AX147" s="426"/>
      <c r="AY147" s="426"/>
      <c r="AZ147" s="428"/>
    </row>
    <row r="148" spans="2:52" ht="14.4" hidden="1" outlineLevel="1" x14ac:dyDescent="0.3">
      <c r="B148" s="425">
        <f t="shared" si="2"/>
        <v>47</v>
      </c>
      <c r="C148" s="95" t="s">
        <v>456</v>
      </c>
      <c r="D148" s="429" t="s">
        <v>796</v>
      </c>
      <c r="E148" s="429" t="s">
        <v>797</v>
      </c>
      <c r="F148" s="429" t="s">
        <v>1042</v>
      </c>
      <c r="G148" s="91"/>
      <c r="H148" s="91"/>
      <c r="I148" s="91" t="s">
        <v>792</v>
      </c>
      <c r="J148" s="426"/>
      <c r="K148" s="426"/>
      <c r="L148" s="426"/>
      <c r="M148" s="91" t="s">
        <v>792</v>
      </c>
      <c r="N148" s="426"/>
      <c r="O148" s="426"/>
      <c r="P148" s="426"/>
      <c r="Q148" s="426"/>
      <c r="R148" s="426"/>
      <c r="S148" s="426"/>
      <c r="T148" s="426"/>
      <c r="U148" s="426"/>
      <c r="V148" s="426"/>
      <c r="W148" s="426"/>
      <c r="X148" s="426"/>
      <c r="Y148" s="426"/>
      <c r="Z148" s="426"/>
      <c r="AA148" s="426"/>
      <c r="AB148" s="426"/>
      <c r="AC148" s="426"/>
      <c r="AD148" s="426"/>
      <c r="AE148" s="426"/>
      <c r="AF148" s="426"/>
      <c r="AG148" s="426"/>
      <c r="AH148" s="426"/>
      <c r="AI148" s="426"/>
      <c r="AJ148" s="426"/>
      <c r="AK148" s="426"/>
      <c r="AL148" s="426"/>
      <c r="AM148" s="426"/>
      <c r="AN148" s="426"/>
      <c r="AO148" s="426"/>
      <c r="AP148" s="426"/>
      <c r="AQ148" s="426"/>
      <c r="AR148" s="91" t="s">
        <v>792</v>
      </c>
      <c r="AS148" s="426"/>
      <c r="AT148" s="426"/>
      <c r="AU148" s="426"/>
      <c r="AV148" s="91" t="s">
        <v>792</v>
      </c>
      <c r="AW148" s="426"/>
      <c r="AX148" s="426"/>
      <c r="AY148" s="426"/>
      <c r="AZ148" s="428"/>
    </row>
    <row r="149" spans="2:52" ht="14.4" hidden="1" outlineLevel="1" x14ac:dyDescent="0.3">
      <c r="B149" s="425">
        <f t="shared" si="2"/>
        <v>48</v>
      </c>
      <c r="C149" s="95" t="s">
        <v>456</v>
      </c>
      <c r="D149" s="429" t="s">
        <v>796</v>
      </c>
      <c r="E149" s="429" t="s">
        <v>797</v>
      </c>
      <c r="F149" s="429" t="s">
        <v>1042</v>
      </c>
      <c r="G149" s="91"/>
      <c r="H149" s="91"/>
      <c r="I149" s="91" t="s">
        <v>792</v>
      </c>
      <c r="J149" s="426"/>
      <c r="K149" s="426"/>
      <c r="L149" s="426"/>
      <c r="M149" s="91" t="s">
        <v>792</v>
      </c>
      <c r="N149" s="426"/>
      <c r="O149" s="426"/>
      <c r="P149" s="426"/>
      <c r="Q149" s="426"/>
      <c r="R149" s="426"/>
      <c r="S149" s="426"/>
      <c r="T149" s="426"/>
      <c r="U149" s="426"/>
      <c r="V149" s="426"/>
      <c r="W149" s="426"/>
      <c r="X149" s="426"/>
      <c r="Y149" s="426"/>
      <c r="Z149" s="426"/>
      <c r="AA149" s="426"/>
      <c r="AB149" s="426"/>
      <c r="AC149" s="426"/>
      <c r="AD149" s="426"/>
      <c r="AE149" s="426"/>
      <c r="AF149" s="426"/>
      <c r="AG149" s="426"/>
      <c r="AH149" s="426"/>
      <c r="AI149" s="426"/>
      <c r="AJ149" s="426"/>
      <c r="AK149" s="426"/>
      <c r="AL149" s="426"/>
      <c r="AM149" s="426"/>
      <c r="AN149" s="426"/>
      <c r="AO149" s="426"/>
      <c r="AP149" s="426"/>
      <c r="AQ149" s="426"/>
      <c r="AR149" s="91" t="s">
        <v>792</v>
      </c>
      <c r="AS149" s="426"/>
      <c r="AT149" s="426"/>
      <c r="AU149" s="426"/>
      <c r="AV149" s="91" t="s">
        <v>792</v>
      </c>
      <c r="AW149" s="426"/>
      <c r="AX149" s="426"/>
      <c r="AY149" s="426"/>
      <c r="AZ149" s="428"/>
    </row>
    <row r="150" spans="2:52" ht="14.4" hidden="1" outlineLevel="1" x14ac:dyDescent="0.3">
      <c r="B150" s="425">
        <f t="shared" si="2"/>
        <v>49</v>
      </c>
      <c r="C150" s="95" t="s">
        <v>456</v>
      </c>
      <c r="D150" s="429" t="s">
        <v>796</v>
      </c>
      <c r="E150" s="429" t="s">
        <v>797</v>
      </c>
      <c r="F150" s="429" t="s">
        <v>1042</v>
      </c>
      <c r="G150" s="91"/>
      <c r="H150" s="91"/>
      <c r="I150" s="91" t="s">
        <v>792</v>
      </c>
      <c r="J150" s="426"/>
      <c r="K150" s="426"/>
      <c r="L150" s="426"/>
      <c r="M150" s="91" t="s">
        <v>792</v>
      </c>
      <c r="N150" s="426"/>
      <c r="O150" s="426"/>
      <c r="P150" s="426"/>
      <c r="Q150" s="426"/>
      <c r="R150" s="426"/>
      <c r="S150" s="426"/>
      <c r="T150" s="426"/>
      <c r="U150" s="426"/>
      <c r="V150" s="426"/>
      <c r="W150" s="426"/>
      <c r="X150" s="426"/>
      <c r="Y150" s="426"/>
      <c r="Z150" s="426"/>
      <c r="AA150" s="426"/>
      <c r="AB150" s="426"/>
      <c r="AC150" s="426"/>
      <c r="AD150" s="426"/>
      <c r="AE150" s="426"/>
      <c r="AF150" s="426"/>
      <c r="AG150" s="426"/>
      <c r="AH150" s="426"/>
      <c r="AI150" s="426"/>
      <c r="AJ150" s="426"/>
      <c r="AK150" s="426"/>
      <c r="AL150" s="426"/>
      <c r="AM150" s="426"/>
      <c r="AN150" s="426"/>
      <c r="AO150" s="426"/>
      <c r="AP150" s="426"/>
      <c r="AQ150" s="426"/>
      <c r="AR150" s="91" t="s">
        <v>792</v>
      </c>
      <c r="AS150" s="426"/>
      <c r="AT150" s="426"/>
      <c r="AU150" s="426"/>
      <c r="AV150" s="91" t="s">
        <v>792</v>
      </c>
      <c r="AW150" s="426"/>
      <c r="AX150" s="426"/>
      <c r="AY150" s="426"/>
      <c r="AZ150" s="428"/>
    </row>
    <row r="151" spans="2:52" ht="14.4" hidden="1" outlineLevel="1" x14ac:dyDescent="0.3">
      <c r="B151" s="425">
        <f t="shared" si="2"/>
        <v>50</v>
      </c>
      <c r="C151" s="95" t="s">
        <v>456</v>
      </c>
      <c r="D151" s="429" t="s">
        <v>796</v>
      </c>
      <c r="E151" s="429" t="s">
        <v>797</v>
      </c>
      <c r="F151" s="429" t="s">
        <v>1042</v>
      </c>
      <c r="G151" s="91"/>
      <c r="H151" s="91"/>
      <c r="I151" s="91" t="s">
        <v>792</v>
      </c>
      <c r="J151" s="426"/>
      <c r="K151" s="426"/>
      <c r="L151" s="426"/>
      <c r="M151" s="91" t="s">
        <v>792</v>
      </c>
      <c r="N151" s="426"/>
      <c r="O151" s="426"/>
      <c r="P151" s="426"/>
      <c r="Q151" s="426"/>
      <c r="R151" s="426"/>
      <c r="S151" s="426"/>
      <c r="T151" s="426"/>
      <c r="U151" s="426"/>
      <c r="V151" s="426"/>
      <c r="W151" s="426"/>
      <c r="X151" s="426"/>
      <c r="Y151" s="426"/>
      <c r="Z151" s="426"/>
      <c r="AA151" s="426"/>
      <c r="AB151" s="426"/>
      <c r="AC151" s="426"/>
      <c r="AD151" s="426"/>
      <c r="AE151" s="426"/>
      <c r="AF151" s="426"/>
      <c r="AG151" s="426"/>
      <c r="AH151" s="426"/>
      <c r="AI151" s="426"/>
      <c r="AJ151" s="426"/>
      <c r="AK151" s="426"/>
      <c r="AL151" s="426"/>
      <c r="AM151" s="426"/>
      <c r="AN151" s="426"/>
      <c r="AO151" s="426"/>
      <c r="AP151" s="426"/>
      <c r="AQ151" s="426"/>
      <c r="AR151" s="91" t="s">
        <v>792</v>
      </c>
      <c r="AS151" s="426"/>
      <c r="AT151" s="426"/>
      <c r="AU151" s="426"/>
      <c r="AV151" s="91" t="s">
        <v>792</v>
      </c>
      <c r="AW151" s="426"/>
      <c r="AX151" s="426"/>
      <c r="AY151" s="426"/>
      <c r="AZ151" s="428"/>
    </row>
    <row r="152" spans="2:52" ht="14.4" hidden="1" outlineLevel="1" x14ac:dyDescent="0.3">
      <c r="B152" s="425">
        <f t="shared" si="2"/>
        <v>51</v>
      </c>
      <c r="C152" s="95" t="s">
        <v>456</v>
      </c>
      <c r="D152" s="429" t="s">
        <v>796</v>
      </c>
      <c r="E152" s="429" t="s">
        <v>797</v>
      </c>
      <c r="F152" s="429" t="s">
        <v>1042</v>
      </c>
      <c r="G152" s="91"/>
      <c r="H152" s="91"/>
      <c r="I152" s="91" t="s">
        <v>792</v>
      </c>
      <c r="J152" s="426"/>
      <c r="K152" s="426"/>
      <c r="L152" s="426"/>
      <c r="M152" s="91" t="s">
        <v>792</v>
      </c>
      <c r="N152" s="426"/>
      <c r="O152" s="426"/>
      <c r="P152" s="426"/>
      <c r="Q152" s="426"/>
      <c r="R152" s="426"/>
      <c r="S152" s="426"/>
      <c r="T152" s="426"/>
      <c r="U152" s="426"/>
      <c r="V152" s="426"/>
      <c r="W152" s="426"/>
      <c r="X152" s="426"/>
      <c r="Y152" s="426"/>
      <c r="Z152" s="426"/>
      <c r="AA152" s="426"/>
      <c r="AB152" s="426"/>
      <c r="AC152" s="426"/>
      <c r="AD152" s="426"/>
      <c r="AE152" s="426"/>
      <c r="AF152" s="426"/>
      <c r="AG152" s="426"/>
      <c r="AH152" s="426"/>
      <c r="AI152" s="426"/>
      <c r="AJ152" s="426"/>
      <c r="AK152" s="426"/>
      <c r="AL152" s="426"/>
      <c r="AM152" s="426"/>
      <c r="AN152" s="426"/>
      <c r="AO152" s="426"/>
      <c r="AP152" s="426"/>
      <c r="AQ152" s="426"/>
      <c r="AR152" s="91" t="s">
        <v>792</v>
      </c>
      <c r="AS152" s="426"/>
      <c r="AT152" s="426"/>
      <c r="AU152" s="426"/>
      <c r="AV152" s="91" t="s">
        <v>792</v>
      </c>
      <c r="AW152" s="426"/>
      <c r="AX152" s="426"/>
      <c r="AY152" s="426"/>
      <c r="AZ152" s="428"/>
    </row>
    <row r="153" spans="2:52" ht="14.4" hidden="1" outlineLevel="1" x14ac:dyDescent="0.3">
      <c r="B153" s="425">
        <f t="shared" si="2"/>
        <v>52</v>
      </c>
      <c r="C153" s="95" t="s">
        <v>456</v>
      </c>
      <c r="D153" s="429" t="s">
        <v>796</v>
      </c>
      <c r="E153" s="429" t="s">
        <v>797</v>
      </c>
      <c r="F153" s="429" t="s">
        <v>1042</v>
      </c>
      <c r="G153" s="91"/>
      <c r="H153" s="91"/>
      <c r="I153" s="91" t="s">
        <v>792</v>
      </c>
      <c r="J153" s="426"/>
      <c r="K153" s="426"/>
      <c r="L153" s="426"/>
      <c r="M153" s="91" t="s">
        <v>792</v>
      </c>
      <c r="N153" s="426"/>
      <c r="O153" s="426"/>
      <c r="P153" s="426"/>
      <c r="Q153" s="426"/>
      <c r="R153" s="426"/>
      <c r="S153" s="426"/>
      <c r="T153" s="426"/>
      <c r="U153" s="426"/>
      <c r="V153" s="426"/>
      <c r="W153" s="426"/>
      <c r="X153" s="426"/>
      <c r="Y153" s="426"/>
      <c r="Z153" s="426"/>
      <c r="AA153" s="426"/>
      <c r="AB153" s="426"/>
      <c r="AC153" s="426"/>
      <c r="AD153" s="426"/>
      <c r="AE153" s="426"/>
      <c r="AF153" s="426"/>
      <c r="AG153" s="426"/>
      <c r="AH153" s="426"/>
      <c r="AI153" s="426"/>
      <c r="AJ153" s="426"/>
      <c r="AK153" s="426"/>
      <c r="AL153" s="426"/>
      <c r="AM153" s="426"/>
      <c r="AN153" s="426"/>
      <c r="AO153" s="426"/>
      <c r="AP153" s="426"/>
      <c r="AQ153" s="426"/>
      <c r="AR153" s="91" t="s">
        <v>792</v>
      </c>
      <c r="AS153" s="426"/>
      <c r="AT153" s="426"/>
      <c r="AU153" s="426"/>
      <c r="AV153" s="91" t="s">
        <v>792</v>
      </c>
      <c r="AW153" s="426"/>
      <c r="AX153" s="426"/>
      <c r="AY153" s="426"/>
      <c r="AZ153" s="428"/>
    </row>
    <row r="154" spans="2:52" ht="14.4" hidden="1" outlineLevel="1" x14ac:dyDescent="0.3">
      <c r="B154" s="425">
        <f t="shared" si="2"/>
        <v>53</v>
      </c>
      <c r="C154" s="95" t="s">
        <v>456</v>
      </c>
      <c r="D154" s="429" t="s">
        <v>796</v>
      </c>
      <c r="E154" s="429" t="s">
        <v>797</v>
      </c>
      <c r="F154" s="429" t="s">
        <v>1042</v>
      </c>
      <c r="G154" s="91"/>
      <c r="H154" s="91"/>
      <c r="I154" s="91" t="s">
        <v>792</v>
      </c>
      <c r="J154" s="426"/>
      <c r="K154" s="426"/>
      <c r="L154" s="426"/>
      <c r="M154" s="91" t="s">
        <v>792</v>
      </c>
      <c r="N154" s="426"/>
      <c r="O154" s="426"/>
      <c r="P154" s="426"/>
      <c r="Q154" s="426"/>
      <c r="R154" s="426"/>
      <c r="S154" s="426"/>
      <c r="T154" s="426"/>
      <c r="U154" s="426"/>
      <c r="V154" s="426"/>
      <c r="W154" s="426"/>
      <c r="X154" s="426"/>
      <c r="Y154" s="426"/>
      <c r="Z154" s="426"/>
      <c r="AA154" s="426"/>
      <c r="AB154" s="426"/>
      <c r="AC154" s="426"/>
      <c r="AD154" s="426"/>
      <c r="AE154" s="426"/>
      <c r="AF154" s="426"/>
      <c r="AG154" s="426"/>
      <c r="AH154" s="426"/>
      <c r="AI154" s="426"/>
      <c r="AJ154" s="426"/>
      <c r="AK154" s="426"/>
      <c r="AL154" s="426"/>
      <c r="AM154" s="426"/>
      <c r="AN154" s="426"/>
      <c r="AO154" s="426"/>
      <c r="AP154" s="426"/>
      <c r="AQ154" s="426"/>
      <c r="AR154" s="91" t="s">
        <v>792</v>
      </c>
      <c r="AS154" s="426"/>
      <c r="AT154" s="426"/>
      <c r="AU154" s="426"/>
      <c r="AV154" s="91" t="s">
        <v>792</v>
      </c>
      <c r="AW154" s="426"/>
      <c r="AX154" s="426"/>
      <c r="AY154" s="426"/>
      <c r="AZ154" s="428"/>
    </row>
    <row r="155" spans="2:52" ht="14.4" hidden="1" outlineLevel="1" x14ac:dyDescent="0.3">
      <c r="B155" s="425">
        <f t="shared" si="2"/>
        <v>54</v>
      </c>
      <c r="C155" s="95" t="s">
        <v>456</v>
      </c>
      <c r="D155" s="429" t="s">
        <v>796</v>
      </c>
      <c r="E155" s="429" t="s">
        <v>797</v>
      </c>
      <c r="F155" s="429" t="s">
        <v>1042</v>
      </c>
      <c r="G155" s="91"/>
      <c r="H155" s="91"/>
      <c r="I155" s="91" t="s">
        <v>792</v>
      </c>
      <c r="J155" s="426"/>
      <c r="K155" s="426"/>
      <c r="L155" s="426"/>
      <c r="M155" s="91" t="s">
        <v>792</v>
      </c>
      <c r="N155" s="426"/>
      <c r="O155" s="426"/>
      <c r="P155" s="426"/>
      <c r="Q155" s="426"/>
      <c r="R155" s="426"/>
      <c r="S155" s="426"/>
      <c r="T155" s="426"/>
      <c r="U155" s="426"/>
      <c r="V155" s="426"/>
      <c r="W155" s="426"/>
      <c r="X155" s="426"/>
      <c r="Y155" s="426"/>
      <c r="Z155" s="426"/>
      <c r="AA155" s="426"/>
      <c r="AB155" s="426"/>
      <c r="AC155" s="426"/>
      <c r="AD155" s="426"/>
      <c r="AE155" s="426"/>
      <c r="AF155" s="426"/>
      <c r="AG155" s="426"/>
      <c r="AH155" s="426"/>
      <c r="AI155" s="426"/>
      <c r="AJ155" s="426"/>
      <c r="AK155" s="426"/>
      <c r="AL155" s="426"/>
      <c r="AM155" s="426"/>
      <c r="AN155" s="426"/>
      <c r="AO155" s="426"/>
      <c r="AP155" s="426"/>
      <c r="AQ155" s="426"/>
      <c r="AR155" s="91" t="s">
        <v>792</v>
      </c>
      <c r="AS155" s="426"/>
      <c r="AT155" s="426"/>
      <c r="AU155" s="426"/>
      <c r="AV155" s="91" t="s">
        <v>792</v>
      </c>
      <c r="AW155" s="426"/>
      <c r="AX155" s="426"/>
      <c r="AY155" s="426"/>
      <c r="AZ155" s="428"/>
    </row>
    <row r="156" spans="2:52" ht="14.4" hidden="1" outlineLevel="1" x14ac:dyDescent="0.3">
      <c r="B156" s="425">
        <f t="shared" si="2"/>
        <v>55</v>
      </c>
      <c r="C156" s="95" t="s">
        <v>456</v>
      </c>
      <c r="D156" s="429" t="s">
        <v>796</v>
      </c>
      <c r="E156" s="429" t="s">
        <v>797</v>
      </c>
      <c r="F156" s="429" t="s">
        <v>1042</v>
      </c>
      <c r="G156" s="91"/>
      <c r="H156" s="91"/>
      <c r="I156" s="91" t="s">
        <v>792</v>
      </c>
      <c r="J156" s="426"/>
      <c r="K156" s="426"/>
      <c r="L156" s="426"/>
      <c r="M156" s="91" t="s">
        <v>792</v>
      </c>
      <c r="N156" s="426"/>
      <c r="O156" s="426"/>
      <c r="P156" s="426"/>
      <c r="Q156" s="426"/>
      <c r="R156" s="426"/>
      <c r="S156" s="426"/>
      <c r="T156" s="426"/>
      <c r="U156" s="426"/>
      <c r="V156" s="426"/>
      <c r="W156" s="426"/>
      <c r="X156" s="426"/>
      <c r="Y156" s="426"/>
      <c r="Z156" s="426"/>
      <c r="AA156" s="426"/>
      <c r="AB156" s="426"/>
      <c r="AC156" s="426"/>
      <c r="AD156" s="426"/>
      <c r="AE156" s="426"/>
      <c r="AF156" s="426"/>
      <c r="AG156" s="426"/>
      <c r="AH156" s="426"/>
      <c r="AI156" s="426"/>
      <c r="AJ156" s="426"/>
      <c r="AK156" s="426"/>
      <c r="AL156" s="426"/>
      <c r="AM156" s="426"/>
      <c r="AN156" s="426"/>
      <c r="AO156" s="426"/>
      <c r="AP156" s="426"/>
      <c r="AQ156" s="426"/>
      <c r="AR156" s="91" t="s">
        <v>792</v>
      </c>
      <c r="AS156" s="426"/>
      <c r="AT156" s="426"/>
      <c r="AU156" s="426"/>
      <c r="AV156" s="91" t="s">
        <v>792</v>
      </c>
      <c r="AW156" s="426"/>
      <c r="AX156" s="426"/>
      <c r="AY156" s="426"/>
      <c r="AZ156" s="428"/>
    </row>
    <row r="157" spans="2:52" ht="14.4" hidden="1" outlineLevel="1" x14ac:dyDescent="0.3">
      <c r="B157" s="425">
        <f t="shared" si="2"/>
        <v>56</v>
      </c>
      <c r="C157" s="95" t="s">
        <v>456</v>
      </c>
      <c r="D157" s="429" t="s">
        <v>796</v>
      </c>
      <c r="E157" s="429" t="s">
        <v>797</v>
      </c>
      <c r="F157" s="429" t="s">
        <v>1042</v>
      </c>
      <c r="G157" s="91"/>
      <c r="H157" s="91"/>
      <c r="I157" s="91" t="s">
        <v>792</v>
      </c>
      <c r="J157" s="426"/>
      <c r="K157" s="426"/>
      <c r="L157" s="426"/>
      <c r="M157" s="91" t="s">
        <v>792</v>
      </c>
      <c r="N157" s="426"/>
      <c r="O157" s="426"/>
      <c r="P157" s="426"/>
      <c r="Q157" s="426"/>
      <c r="R157" s="426"/>
      <c r="S157" s="426"/>
      <c r="T157" s="426"/>
      <c r="U157" s="426"/>
      <c r="V157" s="426"/>
      <c r="W157" s="426"/>
      <c r="X157" s="426"/>
      <c r="Y157" s="426"/>
      <c r="Z157" s="426"/>
      <c r="AA157" s="426"/>
      <c r="AB157" s="426"/>
      <c r="AC157" s="426"/>
      <c r="AD157" s="426"/>
      <c r="AE157" s="426"/>
      <c r="AF157" s="426"/>
      <c r="AG157" s="426"/>
      <c r="AH157" s="426"/>
      <c r="AI157" s="426"/>
      <c r="AJ157" s="426"/>
      <c r="AK157" s="426"/>
      <c r="AL157" s="426"/>
      <c r="AM157" s="426"/>
      <c r="AN157" s="426"/>
      <c r="AO157" s="426"/>
      <c r="AP157" s="426"/>
      <c r="AQ157" s="426"/>
      <c r="AR157" s="91" t="s">
        <v>792</v>
      </c>
      <c r="AS157" s="426"/>
      <c r="AT157" s="426"/>
      <c r="AU157" s="426"/>
      <c r="AV157" s="91" t="s">
        <v>792</v>
      </c>
      <c r="AW157" s="426"/>
      <c r="AX157" s="426"/>
      <c r="AY157" s="426"/>
      <c r="AZ157" s="428"/>
    </row>
    <row r="158" spans="2:52" ht="14.4" hidden="1" outlineLevel="1" x14ac:dyDescent="0.3">
      <c r="B158" s="425">
        <f t="shared" si="2"/>
        <v>57</v>
      </c>
      <c r="C158" s="95" t="s">
        <v>456</v>
      </c>
      <c r="D158" s="429" t="s">
        <v>796</v>
      </c>
      <c r="E158" s="429" t="s">
        <v>797</v>
      </c>
      <c r="F158" s="429" t="s">
        <v>1042</v>
      </c>
      <c r="G158" s="91"/>
      <c r="H158" s="91"/>
      <c r="I158" s="91" t="s">
        <v>792</v>
      </c>
      <c r="J158" s="426"/>
      <c r="K158" s="426"/>
      <c r="L158" s="426"/>
      <c r="M158" s="91" t="s">
        <v>792</v>
      </c>
      <c r="N158" s="426"/>
      <c r="O158" s="426"/>
      <c r="P158" s="426"/>
      <c r="Q158" s="426"/>
      <c r="R158" s="426"/>
      <c r="S158" s="426"/>
      <c r="T158" s="426"/>
      <c r="U158" s="426"/>
      <c r="V158" s="426"/>
      <c r="W158" s="426"/>
      <c r="X158" s="426"/>
      <c r="Y158" s="426"/>
      <c r="Z158" s="426"/>
      <c r="AA158" s="426"/>
      <c r="AB158" s="426"/>
      <c r="AC158" s="426"/>
      <c r="AD158" s="426"/>
      <c r="AE158" s="426"/>
      <c r="AF158" s="426"/>
      <c r="AG158" s="426"/>
      <c r="AH158" s="426"/>
      <c r="AI158" s="426"/>
      <c r="AJ158" s="426"/>
      <c r="AK158" s="426"/>
      <c r="AL158" s="426"/>
      <c r="AM158" s="426"/>
      <c r="AN158" s="426"/>
      <c r="AO158" s="426"/>
      <c r="AP158" s="426"/>
      <c r="AQ158" s="426"/>
      <c r="AR158" s="91" t="s">
        <v>792</v>
      </c>
      <c r="AS158" s="426"/>
      <c r="AT158" s="426"/>
      <c r="AU158" s="426"/>
      <c r="AV158" s="91" t="s">
        <v>792</v>
      </c>
      <c r="AW158" s="426"/>
      <c r="AX158" s="426"/>
      <c r="AY158" s="426"/>
      <c r="AZ158" s="428"/>
    </row>
    <row r="159" spans="2:52" ht="14.4" hidden="1" outlineLevel="1" x14ac:dyDescent="0.3">
      <c r="B159" s="425">
        <f t="shared" si="2"/>
        <v>58</v>
      </c>
      <c r="C159" s="95" t="s">
        <v>456</v>
      </c>
      <c r="D159" s="429" t="s">
        <v>796</v>
      </c>
      <c r="E159" s="429" t="s">
        <v>797</v>
      </c>
      <c r="F159" s="429" t="s">
        <v>1042</v>
      </c>
      <c r="G159" s="91"/>
      <c r="H159" s="91"/>
      <c r="I159" s="91" t="s">
        <v>792</v>
      </c>
      <c r="J159" s="426"/>
      <c r="K159" s="426"/>
      <c r="L159" s="426"/>
      <c r="M159" s="91" t="s">
        <v>792</v>
      </c>
      <c r="N159" s="426"/>
      <c r="O159" s="426"/>
      <c r="P159" s="426"/>
      <c r="Q159" s="426"/>
      <c r="R159" s="426"/>
      <c r="S159" s="426"/>
      <c r="T159" s="426"/>
      <c r="U159" s="426"/>
      <c r="V159" s="426"/>
      <c r="W159" s="426"/>
      <c r="X159" s="426"/>
      <c r="Y159" s="426"/>
      <c r="Z159" s="426"/>
      <c r="AA159" s="426"/>
      <c r="AB159" s="426"/>
      <c r="AC159" s="426"/>
      <c r="AD159" s="426"/>
      <c r="AE159" s="426"/>
      <c r="AF159" s="426"/>
      <c r="AG159" s="426"/>
      <c r="AH159" s="426"/>
      <c r="AI159" s="426"/>
      <c r="AJ159" s="426"/>
      <c r="AK159" s="426"/>
      <c r="AL159" s="426"/>
      <c r="AM159" s="426"/>
      <c r="AN159" s="426"/>
      <c r="AO159" s="426"/>
      <c r="AP159" s="426"/>
      <c r="AQ159" s="426"/>
      <c r="AR159" s="91" t="s">
        <v>792</v>
      </c>
      <c r="AS159" s="426"/>
      <c r="AT159" s="426"/>
      <c r="AU159" s="426"/>
      <c r="AV159" s="91" t="s">
        <v>792</v>
      </c>
      <c r="AW159" s="426"/>
      <c r="AX159" s="426"/>
      <c r="AY159" s="426"/>
      <c r="AZ159" s="428"/>
    </row>
    <row r="160" spans="2:52" ht="14.4" hidden="1" outlineLevel="1" x14ac:dyDescent="0.3">
      <c r="B160" s="425">
        <f t="shared" si="2"/>
        <v>59</v>
      </c>
      <c r="C160" s="95" t="s">
        <v>456</v>
      </c>
      <c r="D160" s="429" t="s">
        <v>796</v>
      </c>
      <c r="E160" s="429" t="s">
        <v>797</v>
      </c>
      <c r="F160" s="429" t="s">
        <v>1042</v>
      </c>
      <c r="G160" s="91"/>
      <c r="H160" s="91"/>
      <c r="I160" s="91" t="s">
        <v>792</v>
      </c>
      <c r="J160" s="426"/>
      <c r="K160" s="426"/>
      <c r="L160" s="426"/>
      <c r="M160" s="91" t="s">
        <v>792</v>
      </c>
      <c r="N160" s="426"/>
      <c r="O160" s="426"/>
      <c r="P160" s="426"/>
      <c r="Q160" s="426"/>
      <c r="R160" s="426"/>
      <c r="S160" s="426"/>
      <c r="T160" s="426"/>
      <c r="U160" s="426"/>
      <c r="V160" s="426"/>
      <c r="W160" s="426"/>
      <c r="X160" s="426"/>
      <c r="Y160" s="426"/>
      <c r="Z160" s="426"/>
      <c r="AA160" s="426"/>
      <c r="AB160" s="426"/>
      <c r="AC160" s="426"/>
      <c r="AD160" s="426"/>
      <c r="AE160" s="426"/>
      <c r="AF160" s="426"/>
      <c r="AG160" s="426"/>
      <c r="AH160" s="426"/>
      <c r="AI160" s="426"/>
      <c r="AJ160" s="426"/>
      <c r="AK160" s="426"/>
      <c r="AL160" s="426"/>
      <c r="AM160" s="426"/>
      <c r="AN160" s="426"/>
      <c r="AO160" s="426"/>
      <c r="AP160" s="426"/>
      <c r="AQ160" s="426"/>
      <c r="AR160" s="91" t="s">
        <v>792</v>
      </c>
      <c r="AS160" s="426"/>
      <c r="AT160" s="426"/>
      <c r="AU160" s="426"/>
      <c r="AV160" s="91" t="s">
        <v>792</v>
      </c>
      <c r="AW160" s="426"/>
      <c r="AX160" s="426"/>
      <c r="AY160" s="426"/>
      <c r="AZ160" s="428"/>
    </row>
    <row r="161" spans="2:52" ht="14.4" hidden="1" outlineLevel="1" x14ac:dyDescent="0.3">
      <c r="B161" s="425">
        <f t="shared" si="2"/>
        <v>60</v>
      </c>
      <c r="C161" s="95" t="s">
        <v>456</v>
      </c>
      <c r="D161" s="429" t="s">
        <v>796</v>
      </c>
      <c r="E161" s="429" t="s">
        <v>797</v>
      </c>
      <c r="F161" s="429" t="s">
        <v>1042</v>
      </c>
      <c r="G161" s="91"/>
      <c r="H161" s="91"/>
      <c r="I161" s="91" t="s">
        <v>792</v>
      </c>
      <c r="J161" s="426"/>
      <c r="K161" s="426"/>
      <c r="L161" s="426"/>
      <c r="M161" s="91" t="s">
        <v>792</v>
      </c>
      <c r="N161" s="426"/>
      <c r="O161" s="426"/>
      <c r="P161" s="426"/>
      <c r="Q161" s="426"/>
      <c r="R161" s="426"/>
      <c r="S161" s="426"/>
      <c r="T161" s="426"/>
      <c r="U161" s="426"/>
      <c r="V161" s="426"/>
      <c r="W161" s="426"/>
      <c r="X161" s="426"/>
      <c r="Y161" s="426"/>
      <c r="Z161" s="426"/>
      <c r="AA161" s="426"/>
      <c r="AB161" s="426"/>
      <c r="AC161" s="426"/>
      <c r="AD161" s="426"/>
      <c r="AE161" s="426"/>
      <c r="AF161" s="426"/>
      <c r="AG161" s="426"/>
      <c r="AH161" s="426"/>
      <c r="AI161" s="426"/>
      <c r="AJ161" s="426"/>
      <c r="AK161" s="426"/>
      <c r="AL161" s="426"/>
      <c r="AM161" s="426"/>
      <c r="AN161" s="426"/>
      <c r="AO161" s="426"/>
      <c r="AP161" s="426"/>
      <c r="AQ161" s="426"/>
      <c r="AR161" s="91" t="s">
        <v>792</v>
      </c>
      <c r="AS161" s="426"/>
      <c r="AT161" s="426"/>
      <c r="AU161" s="426"/>
      <c r="AV161" s="91" t="s">
        <v>792</v>
      </c>
      <c r="AW161" s="426"/>
      <c r="AX161" s="426"/>
      <c r="AY161" s="426"/>
      <c r="AZ161" s="428"/>
    </row>
    <row r="162" spans="2:52" ht="14.4" hidden="1" outlineLevel="1" x14ac:dyDescent="0.3">
      <c r="B162" s="425">
        <f t="shared" si="2"/>
        <v>61</v>
      </c>
      <c r="C162" s="95" t="s">
        <v>456</v>
      </c>
      <c r="D162" s="429" t="s">
        <v>796</v>
      </c>
      <c r="E162" s="429" t="s">
        <v>797</v>
      </c>
      <c r="F162" s="429" t="s">
        <v>1042</v>
      </c>
      <c r="G162" s="91"/>
      <c r="H162" s="91"/>
      <c r="I162" s="91" t="s">
        <v>792</v>
      </c>
      <c r="J162" s="426"/>
      <c r="K162" s="426"/>
      <c r="L162" s="426"/>
      <c r="M162" s="91" t="s">
        <v>792</v>
      </c>
      <c r="N162" s="426"/>
      <c r="O162" s="426"/>
      <c r="P162" s="426"/>
      <c r="Q162" s="426"/>
      <c r="R162" s="426"/>
      <c r="S162" s="426"/>
      <c r="T162" s="426"/>
      <c r="U162" s="426"/>
      <c r="V162" s="426"/>
      <c r="W162" s="426"/>
      <c r="X162" s="426"/>
      <c r="Y162" s="426"/>
      <c r="Z162" s="426"/>
      <c r="AA162" s="426"/>
      <c r="AB162" s="426"/>
      <c r="AC162" s="426"/>
      <c r="AD162" s="426"/>
      <c r="AE162" s="426"/>
      <c r="AF162" s="426"/>
      <c r="AG162" s="426"/>
      <c r="AH162" s="426"/>
      <c r="AI162" s="426"/>
      <c r="AJ162" s="426"/>
      <c r="AK162" s="426"/>
      <c r="AL162" s="426"/>
      <c r="AM162" s="426"/>
      <c r="AN162" s="426"/>
      <c r="AO162" s="426"/>
      <c r="AP162" s="426"/>
      <c r="AQ162" s="426"/>
      <c r="AR162" s="91" t="s">
        <v>792</v>
      </c>
      <c r="AS162" s="426"/>
      <c r="AT162" s="426"/>
      <c r="AU162" s="426"/>
      <c r="AV162" s="91" t="s">
        <v>792</v>
      </c>
      <c r="AW162" s="426"/>
      <c r="AX162" s="426"/>
      <c r="AY162" s="426"/>
      <c r="AZ162" s="428"/>
    </row>
    <row r="163" spans="2:52" ht="14.4" hidden="1" outlineLevel="1" x14ac:dyDescent="0.3">
      <c r="B163" s="425">
        <f t="shared" si="2"/>
        <v>62</v>
      </c>
      <c r="C163" s="95" t="s">
        <v>456</v>
      </c>
      <c r="D163" s="429" t="s">
        <v>796</v>
      </c>
      <c r="E163" s="429" t="s">
        <v>797</v>
      </c>
      <c r="F163" s="429" t="s">
        <v>1042</v>
      </c>
      <c r="G163" s="91"/>
      <c r="H163" s="91"/>
      <c r="I163" s="91" t="s">
        <v>792</v>
      </c>
      <c r="J163" s="426"/>
      <c r="K163" s="426"/>
      <c r="L163" s="426"/>
      <c r="M163" s="91" t="s">
        <v>792</v>
      </c>
      <c r="N163" s="426"/>
      <c r="O163" s="426"/>
      <c r="P163" s="426"/>
      <c r="Q163" s="426"/>
      <c r="R163" s="426"/>
      <c r="S163" s="426"/>
      <c r="T163" s="426"/>
      <c r="U163" s="426"/>
      <c r="V163" s="426"/>
      <c r="W163" s="426"/>
      <c r="X163" s="426"/>
      <c r="Y163" s="426"/>
      <c r="Z163" s="426"/>
      <c r="AA163" s="426"/>
      <c r="AB163" s="426"/>
      <c r="AC163" s="426"/>
      <c r="AD163" s="426"/>
      <c r="AE163" s="426"/>
      <c r="AF163" s="426"/>
      <c r="AG163" s="426"/>
      <c r="AH163" s="426"/>
      <c r="AI163" s="426"/>
      <c r="AJ163" s="426"/>
      <c r="AK163" s="426"/>
      <c r="AL163" s="426"/>
      <c r="AM163" s="426"/>
      <c r="AN163" s="426"/>
      <c r="AO163" s="426"/>
      <c r="AP163" s="426"/>
      <c r="AQ163" s="426"/>
      <c r="AR163" s="91" t="s">
        <v>792</v>
      </c>
      <c r="AS163" s="426"/>
      <c r="AT163" s="426"/>
      <c r="AU163" s="426"/>
      <c r="AV163" s="91" t="s">
        <v>792</v>
      </c>
      <c r="AW163" s="426"/>
      <c r="AX163" s="426"/>
      <c r="AY163" s="426"/>
      <c r="AZ163" s="428"/>
    </row>
    <row r="164" spans="2:52" ht="14.4" hidden="1" outlineLevel="1" x14ac:dyDescent="0.3">
      <c r="B164" s="425">
        <f t="shared" si="2"/>
        <v>63</v>
      </c>
      <c r="C164" s="95" t="s">
        <v>456</v>
      </c>
      <c r="D164" s="429" t="s">
        <v>796</v>
      </c>
      <c r="E164" s="429" t="s">
        <v>797</v>
      </c>
      <c r="F164" s="429" t="s">
        <v>1042</v>
      </c>
      <c r="G164" s="91"/>
      <c r="H164" s="91"/>
      <c r="I164" s="91" t="s">
        <v>792</v>
      </c>
      <c r="J164" s="426"/>
      <c r="K164" s="426"/>
      <c r="L164" s="426"/>
      <c r="M164" s="91" t="s">
        <v>792</v>
      </c>
      <c r="N164" s="426"/>
      <c r="O164" s="426"/>
      <c r="P164" s="426"/>
      <c r="Q164" s="426"/>
      <c r="R164" s="426"/>
      <c r="S164" s="426"/>
      <c r="T164" s="426"/>
      <c r="U164" s="426"/>
      <c r="V164" s="426"/>
      <c r="W164" s="426"/>
      <c r="X164" s="426"/>
      <c r="Y164" s="426"/>
      <c r="Z164" s="426"/>
      <c r="AA164" s="426"/>
      <c r="AB164" s="426"/>
      <c r="AC164" s="426"/>
      <c r="AD164" s="426"/>
      <c r="AE164" s="426"/>
      <c r="AF164" s="426"/>
      <c r="AG164" s="426"/>
      <c r="AH164" s="426"/>
      <c r="AI164" s="426"/>
      <c r="AJ164" s="426"/>
      <c r="AK164" s="426"/>
      <c r="AL164" s="426"/>
      <c r="AM164" s="426"/>
      <c r="AN164" s="426"/>
      <c r="AO164" s="426"/>
      <c r="AP164" s="426"/>
      <c r="AQ164" s="426"/>
      <c r="AR164" s="91" t="s">
        <v>792</v>
      </c>
      <c r="AS164" s="426"/>
      <c r="AT164" s="426"/>
      <c r="AU164" s="426"/>
      <c r="AV164" s="91" t="s">
        <v>792</v>
      </c>
      <c r="AW164" s="426"/>
      <c r="AX164" s="426"/>
      <c r="AY164" s="426"/>
      <c r="AZ164" s="428"/>
    </row>
    <row r="165" spans="2:52" ht="14.4" hidden="1" outlineLevel="1" x14ac:dyDescent="0.3">
      <c r="B165" s="425">
        <f t="shared" si="2"/>
        <v>64</v>
      </c>
      <c r="C165" s="95" t="s">
        <v>456</v>
      </c>
      <c r="D165" s="429" t="s">
        <v>796</v>
      </c>
      <c r="E165" s="429" t="s">
        <v>797</v>
      </c>
      <c r="F165" s="429" t="s">
        <v>1042</v>
      </c>
      <c r="G165" s="91"/>
      <c r="H165" s="91"/>
      <c r="I165" s="91" t="s">
        <v>792</v>
      </c>
      <c r="J165" s="426"/>
      <c r="K165" s="426"/>
      <c r="L165" s="426"/>
      <c r="M165" s="91" t="s">
        <v>792</v>
      </c>
      <c r="N165" s="426"/>
      <c r="O165" s="426"/>
      <c r="P165" s="426"/>
      <c r="Q165" s="426"/>
      <c r="R165" s="426"/>
      <c r="S165" s="426"/>
      <c r="T165" s="426"/>
      <c r="U165" s="426"/>
      <c r="V165" s="426"/>
      <c r="W165" s="426"/>
      <c r="X165" s="426"/>
      <c r="Y165" s="426"/>
      <c r="Z165" s="426"/>
      <c r="AA165" s="426"/>
      <c r="AB165" s="426"/>
      <c r="AC165" s="426"/>
      <c r="AD165" s="426"/>
      <c r="AE165" s="426"/>
      <c r="AF165" s="426"/>
      <c r="AG165" s="426"/>
      <c r="AH165" s="426"/>
      <c r="AI165" s="426"/>
      <c r="AJ165" s="426"/>
      <c r="AK165" s="426"/>
      <c r="AL165" s="426"/>
      <c r="AM165" s="426"/>
      <c r="AN165" s="426"/>
      <c r="AO165" s="426"/>
      <c r="AP165" s="426"/>
      <c r="AQ165" s="426"/>
      <c r="AR165" s="91" t="s">
        <v>792</v>
      </c>
      <c r="AS165" s="426"/>
      <c r="AT165" s="426"/>
      <c r="AU165" s="426"/>
      <c r="AV165" s="91" t="s">
        <v>792</v>
      </c>
      <c r="AW165" s="426"/>
      <c r="AX165" s="426"/>
      <c r="AY165" s="426"/>
      <c r="AZ165" s="428"/>
    </row>
    <row r="166" spans="2:52" ht="14.4" hidden="1" outlineLevel="1" x14ac:dyDescent="0.3">
      <c r="B166" s="425">
        <f t="shared" si="2"/>
        <v>65</v>
      </c>
      <c r="C166" s="95" t="s">
        <v>456</v>
      </c>
      <c r="D166" s="429" t="s">
        <v>796</v>
      </c>
      <c r="E166" s="429" t="s">
        <v>797</v>
      </c>
      <c r="F166" s="429" t="s">
        <v>1042</v>
      </c>
      <c r="G166" s="91"/>
      <c r="H166" s="91"/>
      <c r="I166" s="91" t="s">
        <v>792</v>
      </c>
      <c r="J166" s="426"/>
      <c r="K166" s="426"/>
      <c r="L166" s="426"/>
      <c r="M166" s="91" t="s">
        <v>792</v>
      </c>
      <c r="N166" s="426"/>
      <c r="O166" s="426"/>
      <c r="P166" s="426"/>
      <c r="Q166" s="426"/>
      <c r="R166" s="426"/>
      <c r="S166" s="426"/>
      <c r="T166" s="426"/>
      <c r="U166" s="426"/>
      <c r="V166" s="426"/>
      <c r="W166" s="426"/>
      <c r="X166" s="426"/>
      <c r="Y166" s="426"/>
      <c r="Z166" s="426"/>
      <c r="AA166" s="426"/>
      <c r="AB166" s="426"/>
      <c r="AC166" s="426"/>
      <c r="AD166" s="426"/>
      <c r="AE166" s="426"/>
      <c r="AF166" s="426"/>
      <c r="AG166" s="426"/>
      <c r="AH166" s="426"/>
      <c r="AI166" s="426"/>
      <c r="AJ166" s="426"/>
      <c r="AK166" s="426"/>
      <c r="AL166" s="426"/>
      <c r="AM166" s="426"/>
      <c r="AN166" s="426"/>
      <c r="AO166" s="426"/>
      <c r="AP166" s="426"/>
      <c r="AQ166" s="426"/>
      <c r="AR166" s="91" t="s">
        <v>792</v>
      </c>
      <c r="AS166" s="426"/>
      <c r="AT166" s="426"/>
      <c r="AU166" s="426"/>
      <c r="AV166" s="91" t="s">
        <v>792</v>
      </c>
      <c r="AW166" s="426"/>
      <c r="AX166" s="426"/>
      <c r="AY166" s="426"/>
      <c r="AZ166" s="428"/>
    </row>
    <row r="167" spans="2:52" ht="14.4" hidden="1" outlineLevel="1" x14ac:dyDescent="0.3">
      <c r="B167" s="425">
        <f t="shared" si="2"/>
        <v>66</v>
      </c>
      <c r="C167" s="95" t="s">
        <v>456</v>
      </c>
      <c r="D167" s="429" t="s">
        <v>796</v>
      </c>
      <c r="E167" s="429" t="s">
        <v>797</v>
      </c>
      <c r="F167" s="429" t="s">
        <v>1042</v>
      </c>
      <c r="G167" s="91"/>
      <c r="H167" s="91"/>
      <c r="I167" s="91" t="s">
        <v>792</v>
      </c>
      <c r="J167" s="426"/>
      <c r="K167" s="426"/>
      <c r="L167" s="426"/>
      <c r="M167" s="91" t="s">
        <v>792</v>
      </c>
      <c r="N167" s="426"/>
      <c r="O167" s="426"/>
      <c r="P167" s="426"/>
      <c r="Q167" s="426"/>
      <c r="R167" s="426"/>
      <c r="S167" s="426"/>
      <c r="T167" s="426"/>
      <c r="U167" s="426"/>
      <c r="V167" s="426"/>
      <c r="W167" s="426"/>
      <c r="X167" s="426"/>
      <c r="Y167" s="426"/>
      <c r="Z167" s="426"/>
      <c r="AA167" s="426"/>
      <c r="AB167" s="426"/>
      <c r="AC167" s="426"/>
      <c r="AD167" s="426"/>
      <c r="AE167" s="426"/>
      <c r="AF167" s="426"/>
      <c r="AG167" s="426"/>
      <c r="AH167" s="426"/>
      <c r="AI167" s="426"/>
      <c r="AJ167" s="426"/>
      <c r="AK167" s="426"/>
      <c r="AL167" s="426"/>
      <c r="AM167" s="426"/>
      <c r="AN167" s="426"/>
      <c r="AO167" s="426"/>
      <c r="AP167" s="426"/>
      <c r="AQ167" s="426"/>
      <c r="AR167" s="91" t="s">
        <v>792</v>
      </c>
      <c r="AS167" s="426"/>
      <c r="AT167" s="426"/>
      <c r="AU167" s="426"/>
      <c r="AV167" s="91" t="s">
        <v>792</v>
      </c>
      <c r="AW167" s="426"/>
      <c r="AX167" s="426"/>
      <c r="AY167" s="426"/>
      <c r="AZ167" s="428"/>
    </row>
    <row r="168" spans="2:52" ht="14.4" hidden="1" outlineLevel="1" x14ac:dyDescent="0.3">
      <c r="B168" s="425">
        <f t="shared" ref="B168:B178" si="3">1+B167</f>
        <v>67</v>
      </c>
      <c r="C168" s="95" t="s">
        <v>456</v>
      </c>
      <c r="D168" s="429" t="s">
        <v>796</v>
      </c>
      <c r="E168" s="429" t="s">
        <v>797</v>
      </c>
      <c r="F168" s="429" t="s">
        <v>1042</v>
      </c>
      <c r="G168" s="91"/>
      <c r="H168" s="91"/>
      <c r="I168" s="91" t="s">
        <v>792</v>
      </c>
      <c r="J168" s="426"/>
      <c r="K168" s="426"/>
      <c r="L168" s="426"/>
      <c r="M168" s="91" t="s">
        <v>792</v>
      </c>
      <c r="N168" s="426"/>
      <c r="O168" s="426"/>
      <c r="P168" s="426"/>
      <c r="Q168" s="426"/>
      <c r="R168" s="426"/>
      <c r="S168" s="426"/>
      <c r="T168" s="426"/>
      <c r="U168" s="426"/>
      <c r="V168" s="426"/>
      <c r="W168" s="426"/>
      <c r="X168" s="426"/>
      <c r="Y168" s="426"/>
      <c r="Z168" s="426"/>
      <c r="AA168" s="426"/>
      <c r="AB168" s="426"/>
      <c r="AC168" s="426"/>
      <c r="AD168" s="426"/>
      <c r="AE168" s="426"/>
      <c r="AF168" s="426"/>
      <c r="AG168" s="426"/>
      <c r="AH168" s="426"/>
      <c r="AI168" s="426"/>
      <c r="AJ168" s="426"/>
      <c r="AK168" s="426"/>
      <c r="AL168" s="426"/>
      <c r="AM168" s="426"/>
      <c r="AN168" s="426"/>
      <c r="AO168" s="426"/>
      <c r="AP168" s="426"/>
      <c r="AQ168" s="426"/>
      <c r="AR168" s="91" t="s">
        <v>792</v>
      </c>
      <c r="AS168" s="426"/>
      <c r="AT168" s="426"/>
      <c r="AU168" s="426"/>
      <c r="AV168" s="91" t="s">
        <v>792</v>
      </c>
      <c r="AW168" s="426"/>
      <c r="AX168" s="426"/>
      <c r="AY168" s="426"/>
      <c r="AZ168" s="428"/>
    </row>
    <row r="169" spans="2:52" ht="14.4" hidden="1" outlineLevel="1" x14ac:dyDescent="0.3">
      <c r="B169" s="425">
        <f t="shared" si="3"/>
        <v>68</v>
      </c>
      <c r="C169" s="95" t="s">
        <v>456</v>
      </c>
      <c r="D169" s="429" t="s">
        <v>796</v>
      </c>
      <c r="E169" s="429" t="s">
        <v>797</v>
      </c>
      <c r="F169" s="429" t="s">
        <v>1042</v>
      </c>
      <c r="G169" s="91"/>
      <c r="H169" s="91"/>
      <c r="I169" s="91" t="s">
        <v>792</v>
      </c>
      <c r="J169" s="426"/>
      <c r="K169" s="426"/>
      <c r="L169" s="426"/>
      <c r="M169" s="91" t="s">
        <v>792</v>
      </c>
      <c r="N169" s="426"/>
      <c r="O169" s="426"/>
      <c r="P169" s="426"/>
      <c r="Q169" s="426"/>
      <c r="R169" s="426"/>
      <c r="S169" s="426"/>
      <c r="T169" s="426"/>
      <c r="U169" s="426"/>
      <c r="V169" s="426"/>
      <c r="W169" s="426"/>
      <c r="X169" s="426"/>
      <c r="Y169" s="426"/>
      <c r="Z169" s="426"/>
      <c r="AA169" s="426"/>
      <c r="AB169" s="426"/>
      <c r="AC169" s="426"/>
      <c r="AD169" s="426"/>
      <c r="AE169" s="426"/>
      <c r="AF169" s="426"/>
      <c r="AG169" s="426"/>
      <c r="AH169" s="426"/>
      <c r="AI169" s="426"/>
      <c r="AJ169" s="426"/>
      <c r="AK169" s="426"/>
      <c r="AL169" s="426"/>
      <c r="AM169" s="426"/>
      <c r="AN169" s="426"/>
      <c r="AO169" s="426"/>
      <c r="AP169" s="426"/>
      <c r="AQ169" s="426"/>
      <c r="AR169" s="91" t="s">
        <v>792</v>
      </c>
      <c r="AS169" s="426"/>
      <c r="AT169" s="426"/>
      <c r="AU169" s="426"/>
      <c r="AV169" s="91" t="s">
        <v>792</v>
      </c>
      <c r="AW169" s="426"/>
      <c r="AX169" s="426"/>
      <c r="AY169" s="426"/>
      <c r="AZ169" s="428"/>
    </row>
    <row r="170" spans="2:52" ht="14.4" hidden="1" outlineLevel="1" x14ac:dyDescent="0.3">
      <c r="B170" s="425">
        <f t="shared" si="3"/>
        <v>69</v>
      </c>
      <c r="C170" s="95" t="s">
        <v>456</v>
      </c>
      <c r="D170" s="429" t="s">
        <v>796</v>
      </c>
      <c r="E170" s="429" t="s">
        <v>797</v>
      </c>
      <c r="F170" s="429" t="s">
        <v>1042</v>
      </c>
      <c r="G170" s="91"/>
      <c r="H170" s="91"/>
      <c r="I170" s="91" t="s">
        <v>792</v>
      </c>
      <c r="J170" s="426"/>
      <c r="K170" s="426"/>
      <c r="L170" s="426"/>
      <c r="M170" s="91" t="s">
        <v>792</v>
      </c>
      <c r="N170" s="426"/>
      <c r="O170" s="426"/>
      <c r="P170" s="426"/>
      <c r="Q170" s="426"/>
      <c r="R170" s="426"/>
      <c r="S170" s="426"/>
      <c r="T170" s="426"/>
      <c r="U170" s="426"/>
      <c r="V170" s="426"/>
      <c r="W170" s="426"/>
      <c r="X170" s="426"/>
      <c r="Y170" s="426"/>
      <c r="Z170" s="426"/>
      <c r="AA170" s="426"/>
      <c r="AB170" s="426"/>
      <c r="AC170" s="426"/>
      <c r="AD170" s="426"/>
      <c r="AE170" s="426"/>
      <c r="AF170" s="426"/>
      <c r="AG170" s="426"/>
      <c r="AH170" s="426"/>
      <c r="AI170" s="426"/>
      <c r="AJ170" s="426"/>
      <c r="AK170" s="426"/>
      <c r="AL170" s="426"/>
      <c r="AM170" s="426"/>
      <c r="AN170" s="426"/>
      <c r="AO170" s="426"/>
      <c r="AP170" s="426"/>
      <c r="AQ170" s="426"/>
      <c r="AR170" s="91" t="s">
        <v>792</v>
      </c>
      <c r="AS170" s="426"/>
      <c r="AT170" s="426"/>
      <c r="AU170" s="426"/>
      <c r="AV170" s="91" t="s">
        <v>792</v>
      </c>
      <c r="AW170" s="426"/>
      <c r="AX170" s="426"/>
      <c r="AY170" s="426"/>
      <c r="AZ170" s="428"/>
    </row>
    <row r="171" spans="2:52" ht="14.4" hidden="1" outlineLevel="1" x14ac:dyDescent="0.3">
      <c r="B171" s="425">
        <f t="shared" si="3"/>
        <v>70</v>
      </c>
      <c r="C171" s="95" t="s">
        <v>456</v>
      </c>
      <c r="D171" s="429" t="s">
        <v>796</v>
      </c>
      <c r="E171" s="429" t="s">
        <v>797</v>
      </c>
      <c r="F171" s="429" t="s">
        <v>1042</v>
      </c>
      <c r="G171" s="91"/>
      <c r="H171" s="91"/>
      <c r="I171" s="91" t="s">
        <v>792</v>
      </c>
      <c r="J171" s="426"/>
      <c r="K171" s="426"/>
      <c r="L171" s="426"/>
      <c r="M171" s="91" t="s">
        <v>792</v>
      </c>
      <c r="N171" s="426"/>
      <c r="O171" s="426"/>
      <c r="P171" s="426"/>
      <c r="Q171" s="426"/>
      <c r="R171" s="426"/>
      <c r="S171" s="426"/>
      <c r="T171" s="426"/>
      <c r="U171" s="426"/>
      <c r="V171" s="426"/>
      <c r="W171" s="426"/>
      <c r="X171" s="426"/>
      <c r="Y171" s="426"/>
      <c r="Z171" s="426"/>
      <c r="AA171" s="426"/>
      <c r="AB171" s="426"/>
      <c r="AC171" s="426"/>
      <c r="AD171" s="426"/>
      <c r="AE171" s="426"/>
      <c r="AF171" s="426"/>
      <c r="AG171" s="426"/>
      <c r="AH171" s="426"/>
      <c r="AI171" s="426"/>
      <c r="AJ171" s="426"/>
      <c r="AK171" s="426"/>
      <c r="AL171" s="426"/>
      <c r="AM171" s="426"/>
      <c r="AN171" s="426"/>
      <c r="AO171" s="426"/>
      <c r="AP171" s="426"/>
      <c r="AQ171" s="426"/>
      <c r="AR171" s="91" t="s">
        <v>792</v>
      </c>
      <c r="AS171" s="426"/>
      <c r="AT171" s="426"/>
      <c r="AU171" s="426"/>
      <c r="AV171" s="91" t="s">
        <v>792</v>
      </c>
      <c r="AW171" s="426"/>
      <c r="AX171" s="426"/>
      <c r="AY171" s="426"/>
      <c r="AZ171" s="428"/>
    </row>
    <row r="172" spans="2:52" ht="14.4" hidden="1" outlineLevel="1" x14ac:dyDescent="0.3">
      <c r="B172" s="425">
        <f t="shared" si="3"/>
        <v>71</v>
      </c>
      <c r="C172" s="95" t="s">
        <v>456</v>
      </c>
      <c r="D172" s="429" t="s">
        <v>796</v>
      </c>
      <c r="E172" s="429" t="s">
        <v>797</v>
      </c>
      <c r="F172" s="429" t="s">
        <v>1042</v>
      </c>
      <c r="G172" s="91"/>
      <c r="H172" s="91"/>
      <c r="I172" s="91" t="s">
        <v>792</v>
      </c>
      <c r="J172" s="426"/>
      <c r="K172" s="426"/>
      <c r="L172" s="426"/>
      <c r="M172" s="91" t="s">
        <v>792</v>
      </c>
      <c r="N172" s="426"/>
      <c r="O172" s="426"/>
      <c r="P172" s="426"/>
      <c r="Q172" s="426"/>
      <c r="R172" s="426"/>
      <c r="S172" s="426"/>
      <c r="T172" s="426"/>
      <c r="U172" s="426"/>
      <c r="V172" s="426"/>
      <c r="W172" s="426"/>
      <c r="X172" s="426"/>
      <c r="Y172" s="426"/>
      <c r="Z172" s="426"/>
      <c r="AA172" s="426"/>
      <c r="AB172" s="426"/>
      <c r="AC172" s="426"/>
      <c r="AD172" s="426"/>
      <c r="AE172" s="426"/>
      <c r="AF172" s="426"/>
      <c r="AG172" s="426"/>
      <c r="AH172" s="426"/>
      <c r="AI172" s="426"/>
      <c r="AJ172" s="426"/>
      <c r="AK172" s="426"/>
      <c r="AL172" s="426"/>
      <c r="AM172" s="426"/>
      <c r="AN172" s="426"/>
      <c r="AO172" s="426"/>
      <c r="AP172" s="426"/>
      <c r="AQ172" s="426"/>
      <c r="AR172" s="91" t="s">
        <v>792</v>
      </c>
      <c r="AS172" s="426"/>
      <c r="AT172" s="426"/>
      <c r="AU172" s="426"/>
      <c r="AV172" s="91" t="s">
        <v>792</v>
      </c>
      <c r="AW172" s="426"/>
      <c r="AX172" s="426"/>
      <c r="AY172" s="426"/>
      <c r="AZ172" s="428"/>
    </row>
    <row r="173" spans="2:52" ht="14.4" hidden="1" outlineLevel="1" x14ac:dyDescent="0.3">
      <c r="B173" s="425">
        <f t="shared" si="3"/>
        <v>72</v>
      </c>
      <c r="C173" s="95" t="s">
        <v>456</v>
      </c>
      <c r="D173" s="429" t="s">
        <v>796</v>
      </c>
      <c r="E173" s="429" t="s">
        <v>797</v>
      </c>
      <c r="F173" s="429" t="s">
        <v>1042</v>
      </c>
      <c r="G173" s="91"/>
      <c r="H173" s="91"/>
      <c r="I173" s="91" t="s">
        <v>792</v>
      </c>
      <c r="J173" s="426"/>
      <c r="K173" s="426"/>
      <c r="L173" s="426"/>
      <c r="M173" s="91" t="s">
        <v>792</v>
      </c>
      <c r="N173" s="426"/>
      <c r="O173" s="426"/>
      <c r="P173" s="426"/>
      <c r="Q173" s="426"/>
      <c r="R173" s="426"/>
      <c r="S173" s="426"/>
      <c r="T173" s="426"/>
      <c r="U173" s="426"/>
      <c r="V173" s="426"/>
      <c r="W173" s="426"/>
      <c r="X173" s="426"/>
      <c r="Y173" s="426"/>
      <c r="Z173" s="426"/>
      <c r="AA173" s="426"/>
      <c r="AB173" s="426"/>
      <c r="AC173" s="426"/>
      <c r="AD173" s="426"/>
      <c r="AE173" s="426"/>
      <c r="AF173" s="426"/>
      <c r="AG173" s="426"/>
      <c r="AH173" s="426"/>
      <c r="AI173" s="426"/>
      <c r="AJ173" s="426"/>
      <c r="AK173" s="426"/>
      <c r="AL173" s="426"/>
      <c r="AM173" s="426"/>
      <c r="AN173" s="426"/>
      <c r="AO173" s="426"/>
      <c r="AP173" s="426"/>
      <c r="AQ173" s="426"/>
      <c r="AR173" s="91" t="s">
        <v>792</v>
      </c>
      <c r="AS173" s="426"/>
      <c r="AT173" s="426"/>
      <c r="AU173" s="426"/>
      <c r="AV173" s="91" t="s">
        <v>792</v>
      </c>
      <c r="AW173" s="426"/>
      <c r="AX173" s="426"/>
      <c r="AY173" s="426"/>
      <c r="AZ173" s="428"/>
    </row>
    <row r="174" spans="2:52" ht="14.4" hidden="1" outlineLevel="1" x14ac:dyDescent="0.3">
      <c r="B174" s="425">
        <f t="shared" si="3"/>
        <v>73</v>
      </c>
      <c r="C174" s="95" t="s">
        <v>456</v>
      </c>
      <c r="D174" s="429" t="s">
        <v>796</v>
      </c>
      <c r="E174" s="429" t="s">
        <v>797</v>
      </c>
      <c r="F174" s="429" t="s">
        <v>1042</v>
      </c>
      <c r="G174" s="91"/>
      <c r="H174" s="91"/>
      <c r="I174" s="91" t="s">
        <v>792</v>
      </c>
      <c r="J174" s="426"/>
      <c r="K174" s="426"/>
      <c r="L174" s="426"/>
      <c r="M174" s="91" t="s">
        <v>792</v>
      </c>
      <c r="N174" s="426"/>
      <c r="O174" s="426"/>
      <c r="P174" s="426"/>
      <c r="Q174" s="426"/>
      <c r="R174" s="426"/>
      <c r="S174" s="426"/>
      <c r="T174" s="426"/>
      <c r="U174" s="426"/>
      <c r="V174" s="426"/>
      <c r="W174" s="426"/>
      <c r="X174" s="426"/>
      <c r="Y174" s="426"/>
      <c r="Z174" s="426"/>
      <c r="AA174" s="426"/>
      <c r="AB174" s="426"/>
      <c r="AC174" s="426"/>
      <c r="AD174" s="426"/>
      <c r="AE174" s="426"/>
      <c r="AF174" s="426"/>
      <c r="AG174" s="426"/>
      <c r="AH174" s="426"/>
      <c r="AI174" s="426"/>
      <c r="AJ174" s="426"/>
      <c r="AK174" s="426"/>
      <c r="AL174" s="426"/>
      <c r="AM174" s="426"/>
      <c r="AN174" s="426"/>
      <c r="AO174" s="426"/>
      <c r="AP174" s="426"/>
      <c r="AQ174" s="426"/>
      <c r="AR174" s="91" t="s">
        <v>792</v>
      </c>
      <c r="AS174" s="426"/>
      <c r="AT174" s="426"/>
      <c r="AU174" s="426"/>
      <c r="AV174" s="91" t="s">
        <v>792</v>
      </c>
      <c r="AW174" s="426"/>
      <c r="AX174" s="426"/>
      <c r="AY174" s="426"/>
      <c r="AZ174" s="428"/>
    </row>
    <row r="175" spans="2:52" ht="14.4" hidden="1" outlineLevel="1" x14ac:dyDescent="0.3">
      <c r="B175" s="425">
        <f t="shared" si="3"/>
        <v>74</v>
      </c>
      <c r="C175" s="95" t="s">
        <v>456</v>
      </c>
      <c r="D175" s="429" t="s">
        <v>796</v>
      </c>
      <c r="E175" s="429" t="s">
        <v>797</v>
      </c>
      <c r="F175" s="429" t="s">
        <v>1042</v>
      </c>
      <c r="G175" s="91"/>
      <c r="H175" s="91"/>
      <c r="I175" s="91" t="s">
        <v>792</v>
      </c>
      <c r="J175" s="426"/>
      <c r="K175" s="426"/>
      <c r="L175" s="426"/>
      <c r="M175" s="91" t="s">
        <v>792</v>
      </c>
      <c r="N175" s="426"/>
      <c r="O175" s="426"/>
      <c r="P175" s="426"/>
      <c r="Q175" s="426"/>
      <c r="R175" s="426"/>
      <c r="S175" s="426"/>
      <c r="T175" s="426"/>
      <c r="U175" s="426"/>
      <c r="V175" s="426"/>
      <c r="W175" s="426"/>
      <c r="X175" s="426"/>
      <c r="Y175" s="426"/>
      <c r="Z175" s="426"/>
      <c r="AA175" s="426"/>
      <c r="AB175" s="426"/>
      <c r="AC175" s="426"/>
      <c r="AD175" s="426"/>
      <c r="AE175" s="426"/>
      <c r="AF175" s="426"/>
      <c r="AG175" s="426"/>
      <c r="AH175" s="426"/>
      <c r="AI175" s="426"/>
      <c r="AJ175" s="426"/>
      <c r="AK175" s="426"/>
      <c r="AL175" s="426"/>
      <c r="AM175" s="426"/>
      <c r="AN175" s="426"/>
      <c r="AO175" s="426"/>
      <c r="AP175" s="426"/>
      <c r="AQ175" s="426"/>
      <c r="AR175" s="91" t="s">
        <v>792</v>
      </c>
      <c r="AS175" s="426"/>
      <c r="AT175" s="426"/>
      <c r="AU175" s="426"/>
      <c r="AV175" s="91" t="s">
        <v>792</v>
      </c>
      <c r="AW175" s="426"/>
      <c r="AX175" s="426"/>
      <c r="AY175" s="426"/>
      <c r="AZ175" s="428"/>
    </row>
    <row r="176" spans="2:52" ht="14.4" hidden="1" outlineLevel="1" x14ac:dyDescent="0.3">
      <c r="B176" s="425">
        <f t="shared" si="3"/>
        <v>75</v>
      </c>
      <c r="C176" s="95" t="s">
        <v>456</v>
      </c>
      <c r="D176" s="429" t="s">
        <v>796</v>
      </c>
      <c r="E176" s="429" t="s">
        <v>797</v>
      </c>
      <c r="F176" s="429" t="s">
        <v>1042</v>
      </c>
      <c r="G176" s="91"/>
      <c r="H176" s="91"/>
      <c r="I176" s="91" t="s">
        <v>792</v>
      </c>
      <c r="J176" s="426"/>
      <c r="K176" s="426"/>
      <c r="L176" s="426"/>
      <c r="M176" s="91" t="s">
        <v>792</v>
      </c>
      <c r="N176" s="426"/>
      <c r="O176" s="426"/>
      <c r="P176" s="426"/>
      <c r="Q176" s="426"/>
      <c r="R176" s="426"/>
      <c r="S176" s="426"/>
      <c r="T176" s="426"/>
      <c r="U176" s="426"/>
      <c r="V176" s="426"/>
      <c r="W176" s="426"/>
      <c r="X176" s="426"/>
      <c r="Y176" s="426"/>
      <c r="Z176" s="426"/>
      <c r="AA176" s="426"/>
      <c r="AB176" s="426"/>
      <c r="AC176" s="426"/>
      <c r="AD176" s="426"/>
      <c r="AE176" s="426"/>
      <c r="AF176" s="426"/>
      <c r="AG176" s="426"/>
      <c r="AH176" s="426"/>
      <c r="AI176" s="426"/>
      <c r="AJ176" s="426"/>
      <c r="AK176" s="426"/>
      <c r="AL176" s="426"/>
      <c r="AM176" s="426"/>
      <c r="AN176" s="426"/>
      <c r="AO176" s="426"/>
      <c r="AP176" s="426"/>
      <c r="AQ176" s="426"/>
      <c r="AR176" s="91" t="s">
        <v>792</v>
      </c>
      <c r="AS176" s="426"/>
      <c r="AT176" s="426"/>
      <c r="AU176" s="426"/>
      <c r="AV176" s="91" t="s">
        <v>792</v>
      </c>
      <c r="AW176" s="426"/>
      <c r="AX176" s="426"/>
      <c r="AY176" s="426"/>
      <c r="AZ176" s="428"/>
    </row>
    <row r="177" spans="2:52" ht="14.4" hidden="1" outlineLevel="1" x14ac:dyDescent="0.3">
      <c r="B177" s="425">
        <f t="shared" si="3"/>
        <v>76</v>
      </c>
      <c r="C177" s="95" t="s">
        <v>456</v>
      </c>
      <c r="D177" s="429" t="s">
        <v>796</v>
      </c>
      <c r="E177" s="429" t="s">
        <v>797</v>
      </c>
      <c r="F177" s="429" t="s">
        <v>1042</v>
      </c>
      <c r="G177" s="91"/>
      <c r="H177" s="91"/>
      <c r="I177" s="91" t="s">
        <v>792</v>
      </c>
      <c r="J177" s="426"/>
      <c r="K177" s="426"/>
      <c r="L177" s="426"/>
      <c r="M177" s="91" t="s">
        <v>792</v>
      </c>
      <c r="N177" s="426"/>
      <c r="O177" s="426"/>
      <c r="P177" s="426"/>
      <c r="Q177" s="426"/>
      <c r="R177" s="426"/>
      <c r="S177" s="426"/>
      <c r="T177" s="426"/>
      <c r="U177" s="426"/>
      <c r="V177" s="426"/>
      <c r="W177" s="426"/>
      <c r="X177" s="426"/>
      <c r="Y177" s="426"/>
      <c r="Z177" s="426"/>
      <c r="AA177" s="426"/>
      <c r="AB177" s="426"/>
      <c r="AC177" s="426"/>
      <c r="AD177" s="426"/>
      <c r="AE177" s="426"/>
      <c r="AF177" s="426"/>
      <c r="AG177" s="426"/>
      <c r="AH177" s="426"/>
      <c r="AI177" s="426"/>
      <c r="AJ177" s="426"/>
      <c r="AK177" s="426"/>
      <c r="AL177" s="426"/>
      <c r="AM177" s="426"/>
      <c r="AN177" s="426"/>
      <c r="AO177" s="426"/>
      <c r="AP177" s="426"/>
      <c r="AQ177" s="426"/>
      <c r="AR177" s="91" t="s">
        <v>792</v>
      </c>
      <c r="AS177" s="426"/>
      <c r="AT177" s="426"/>
      <c r="AU177" s="426"/>
      <c r="AV177" s="91" t="s">
        <v>792</v>
      </c>
      <c r="AW177" s="426"/>
      <c r="AX177" s="426"/>
      <c r="AY177" s="426"/>
      <c r="AZ177" s="428"/>
    </row>
    <row r="178" spans="2:52" ht="14.4" hidden="1" x14ac:dyDescent="0.3">
      <c r="B178" s="425">
        <f t="shared" si="3"/>
        <v>77</v>
      </c>
      <c r="C178" s="95" t="s">
        <v>456</v>
      </c>
      <c r="D178" s="429" t="s">
        <v>796</v>
      </c>
      <c r="E178" s="429" t="s">
        <v>797</v>
      </c>
      <c r="F178" s="429" t="s">
        <v>1042</v>
      </c>
      <c r="G178" s="91"/>
      <c r="H178" s="91"/>
      <c r="I178" s="91" t="s">
        <v>792</v>
      </c>
      <c r="J178" s="426"/>
      <c r="K178" s="426"/>
      <c r="L178" s="426"/>
      <c r="M178" s="91" t="s">
        <v>792</v>
      </c>
      <c r="N178" s="426"/>
      <c r="O178" s="426"/>
      <c r="P178" s="426"/>
      <c r="Q178" s="426"/>
      <c r="R178" s="426"/>
      <c r="S178" s="426"/>
      <c r="T178" s="426"/>
      <c r="U178" s="426"/>
      <c r="V178" s="426"/>
      <c r="W178" s="426"/>
      <c r="X178" s="426"/>
      <c r="Y178" s="426"/>
      <c r="Z178" s="426"/>
      <c r="AA178" s="426"/>
      <c r="AB178" s="426"/>
      <c r="AC178" s="426"/>
      <c r="AD178" s="426"/>
      <c r="AE178" s="426"/>
      <c r="AF178" s="426"/>
      <c r="AG178" s="426"/>
      <c r="AH178" s="426"/>
      <c r="AI178" s="426"/>
      <c r="AJ178" s="426"/>
      <c r="AK178" s="426"/>
      <c r="AL178" s="426"/>
      <c r="AM178" s="426"/>
      <c r="AN178" s="426"/>
      <c r="AO178" s="426"/>
      <c r="AP178" s="426"/>
      <c r="AQ178" s="426"/>
      <c r="AR178" s="91" t="s">
        <v>792</v>
      </c>
      <c r="AS178" s="426"/>
      <c r="AT178" s="426"/>
      <c r="AU178" s="426"/>
      <c r="AV178" s="91" t="s">
        <v>792</v>
      </c>
      <c r="AW178" s="426"/>
      <c r="AX178" s="426"/>
      <c r="AY178" s="426"/>
      <c r="AZ178" s="428"/>
    </row>
    <row r="179" spans="2:52" ht="12" x14ac:dyDescent="0.2">
      <c r="C179" s="129" t="s">
        <v>1045</v>
      </c>
      <c r="D179" s="103"/>
      <c r="E179" s="103"/>
      <c r="F179" s="103"/>
    </row>
    <row r="180" spans="2:52" x14ac:dyDescent="0.2">
      <c r="C180" t="s">
        <v>798</v>
      </c>
    </row>
    <row r="181" spans="2:52" x14ac:dyDescent="0.2">
      <c r="C181" s="252" t="s">
        <v>799</v>
      </c>
    </row>
    <row r="182" spans="2:52" x14ac:dyDescent="0.2">
      <c r="C182" s="252"/>
    </row>
    <row r="183" spans="2:52" x14ac:dyDescent="0.2">
      <c r="C183" s="252"/>
    </row>
    <row r="184" spans="2:52" x14ac:dyDescent="0.2">
      <c r="C184" s="252"/>
    </row>
    <row r="185" spans="2:52" ht="15.6" x14ac:dyDescent="0.2">
      <c r="C185" s="9" t="s">
        <v>1046</v>
      </c>
      <c r="E185" s="433"/>
      <c r="F185" s="433"/>
    </row>
    <row r="186" spans="2:52" x14ac:dyDescent="0.2">
      <c r="C186" s="96" t="s">
        <v>800</v>
      </c>
    </row>
    <row r="187" spans="2:52" x14ac:dyDescent="0.2">
      <c r="C187" s="96" t="s">
        <v>801</v>
      </c>
    </row>
    <row r="188" spans="2:52" ht="25.2" customHeight="1" x14ac:dyDescent="0.2">
      <c r="C188" s="538" t="s">
        <v>802</v>
      </c>
      <c r="D188" s="538"/>
      <c r="E188" s="538"/>
      <c r="F188" s="538"/>
    </row>
    <row r="189" spans="2:52" ht="12" x14ac:dyDescent="0.2">
      <c r="B189" s="252"/>
      <c r="C189" s="96" t="s">
        <v>803</v>
      </c>
      <c r="G189" s="540">
        <v>2024</v>
      </c>
      <c r="H189" s="541"/>
      <c r="I189" s="542">
        <v>2025</v>
      </c>
      <c r="J189" s="541"/>
    </row>
    <row r="190" spans="2:52" ht="12" x14ac:dyDescent="0.2">
      <c r="B190" s="252"/>
      <c r="C190" s="418" t="s">
        <v>456</v>
      </c>
      <c r="D190" s="418" t="s">
        <v>457</v>
      </c>
      <c r="E190" s="419" t="s">
        <v>458</v>
      </c>
      <c r="F190" s="419" t="s">
        <v>760</v>
      </c>
      <c r="G190" s="434" t="s">
        <v>804</v>
      </c>
      <c r="H190" s="435" t="s">
        <v>805</v>
      </c>
      <c r="I190" s="434" t="s">
        <v>804</v>
      </c>
      <c r="J190" s="435" t="s">
        <v>805</v>
      </c>
      <c r="K190" s="418" t="s">
        <v>493</v>
      </c>
    </row>
    <row r="191" spans="2:52" ht="14.4" x14ac:dyDescent="0.3">
      <c r="B191" s="425">
        <v>1</v>
      </c>
      <c r="C191" s="95" t="s">
        <v>692</v>
      </c>
      <c r="D191" s="429" t="s">
        <v>350</v>
      </c>
      <c r="E191" s="429" t="s">
        <v>326</v>
      </c>
      <c r="F191" s="429" t="s">
        <v>677</v>
      </c>
      <c r="G191" s="91">
        <v>82.86</v>
      </c>
      <c r="H191" s="486">
        <v>99.001127999999994</v>
      </c>
      <c r="I191" s="91">
        <v>82.86</v>
      </c>
      <c r="J191" s="486">
        <v>99.001127999999994</v>
      </c>
      <c r="K191" s="91"/>
    </row>
    <row r="192" spans="2:52" ht="14.4" x14ac:dyDescent="0.3">
      <c r="B192" s="425">
        <f>1+B191</f>
        <v>2</v>
      </c>
      <c r="C192" s="95" t="s">
        <v>691</v>
      </c>
      <c r="D192" s="429" t="s">
        <v>351</v>
      </c>
      <c r="E192" s="429" t="s">
        <v>326</v>
      </c>
      <c r="F192" s="429" t="s">
        <v>677</v>
      </c>
      <c r="G192" s="91">
        <v>82.86</v>
      </c>
      <c r="H192" s="486">
        <v>99.001127999999994</v>
      </c>
      <c r="I192" s="91">
        <v>82.86</v>
      </c>
      <c r="J192" s="486">
        <v>99.001127999999994</v>
      </c>
      <c r="K192" s="91"/>
    </row>
    <row r="193" spans="2:11" ht="14.4" x14ac:dyDescent="0.3">
      <c r="B193" s="425">
        <f t="shared" ref="B193:B256" si="4">1+B192</f>
        <v>3</v>
      </c>
      <c r="C193" s="95" t="s">
        <v>682</v>
      </c>
      <c r="D193" s="429" t="s">
        <v>806</v>
      </c>
      <c r="E193" s="429" t="s">
        <v>326</v>
      </c>
      <c r="F193" s="429" t="s">
        <v>807</v>
      </c>
      <c r="G193" s="91">
        <v>0.34200000000000003</v>
      </c>
      <c r="H193" s="486">
        <v>0.40860000000000002</v>
      </c>
      <c r="I193" s="91">
        <v>0.34200000000000003</v>
      </c>
      <c r="J193" s="486">
        <v>0.40860000000000002</v>
      </c>
      <c r="K193" s="91"/>
    </row>
    <row r="194" spans="2:11" ht="14.4" x14ac:dyDescent="0.3">
      <c r="B194" s="425">
        <f t="shared" si="4"/>
        <v>4</v>
      </c>
      <c r="C194" s="95" t="s">
        <v>808</v>
      </c>
      <c r="D194" s="429" t="s">
        <v>350</v>
      </c>
      <c r="E194" s="429" t="s">
        <v>326</v>
      </c>
      <c r="F194" s="429" t="s">
        <v>1011</v>
      </c>
      <c r="G194" s="91">
        <v>1379.31</v>
      </c>
      <c r="H194" s="486">
        <v>1600</v>
      </c>
      <c r="I194" s="91">
        <v>1379.31</v>
      </c>
      <c r="J194" s="486">
        <v>1600</v>
      </c>
      <c r="K194" s="91"/>
    </row>
    <row r="195" spans="2:11" ht="14.4" x14ac:dyDescent="0.3">
      <c r="B195" s="425">
        <f t="shared" si="4"/>
        <v>5</v>
      </c>
      <c r="C195" s="95" t="s">
        <v>810</v>
      </c>
      <c r="D195" s="429" t="s">
        <v>351</v>
      </c>
      <c r="E195" s="429" t="s">
        <v>326</v>
      </c>
      <c r="F195" s="429" t="s">
        <v>1011</v>
      </c>
      <c r="G195" s="91">
        <v>1379.31</v>
      </c>
      <c r="H195" s="486">
        <v>1600</v>
      </c>
      <c r="I195" s="91">
        <v>1379.31</v>
      </c>
      <c r="J195" s="486">
        <v>1600</v>
      </c>
      <c r="K195" s="91"/>
    </row>
    <row r="196" spans="2:11" ht="14.4" x14ac:dyDescent="0.3">
      <c r="B196" s="425">
        <f t="shared" si="4"/>
        <v>6</v>
      </c>
      <c r="C196" s="95" t="s">
        <v>811</v>
      </c>
      <c r="D196" s="429" t="s">
        <v>806</v>
      </c>
      <c r="E196" s="429" t="s">
        <v>326</v>
      </c>
      <c r="F196" s="429" t="s">
        <v>1011</v>
      </c>
      <c r="G196" s="91">
        <v>1379.31</v>
      </c>
      <c r="H196" s="486">
        <v>1600</v>
      </c>
      <c r="I196" s="91">
        <v>1379.31</v>
      </c>
      <c r="J196" s="486">
        <v>1600</v>
      </c>
      <c r="K196" s="91"/>
    </row>
    <row r="197" spans="2:11" ht="14.4" x14ac:dyDescent="0.3">
      <c r="B197" s="425">
        <f t="shared" si="4"/>
        <v>7</v>
      </c>
      <c r="C197" s="95" t="s">
        <v>165</v>
      </c>
      <c r="D197" s="429" t="s">
        <v>350</v>
      </c>
      <c r="E197" s="429" t="s">
        <v>326</v>
      </c>
      <c r="F197" s="429" t="s">
        <v>677</v>
      </c>
      <c r="G197" s="91">
        <v>156.55000000000001</v>
      </c>
      <c r="H197" s="486">
        <v>187.04594000000003</v>
      </c>
      <c r="I197" s="91">
        <v>156.55000000000001</v>
      </c>
      <c r="J197" s="486">
        <v>187.04594000000003</v>
      </c>
      <c r="K197" s="91" t="s">
        <v>812</v>
      </c>
    </row>
    <row r="198" spans="2:11" ht="14.4" x14ac:dyDescent="0.3">
      <c r="B198" s="425">
        <f t="shared" si="4"/>
        <v>8</v>
      </c>
      <c r="C198" s="95" t="s">
        <v>168</v>
      </c>
      <c r="D198" s="429" t="s">
        <v>351</v>
      </c>
      <c r="E198" s="429" t="s">
        <v>326</v>
      </c>
      <c r="F198" s="429" t="s">
        <v>677</v>
      </c>
      <c r="G198" s="91">
        <v>198</v>
      </c>
      <c r="H198" s="486">
        <v>236.57039999999998</v>
      </c>
      <c r="I198" s="91">
        <v>198</v>
      </c>
      <c r="J198" s="486">
        <v>236.57039999999998</v>
      </c>
      <c r="K198" s="91"/>
    </row>
    <row r="199" spans="2:11" ht="14.4" x14ac:dyDescent="0.3">
      <c r="B199" s="425">
        <f t="shared" si="4"/>
        <v>9</v>
      </c>
      <c r="C199" s="95" t="s">
        <v>693</v>
      </c>
      <c r="D199" s="429" t="s">
        <v>806</v>
      </c>
      <c r="E199" s="429" t="s">
        <v>326</v>
      </c>
      <c r="F199" s="429" t="s">
        <v>807</v>
      </c>
      <c r="G199" s="91">
        <v>9.42</v>
      </c>
      <c r="H199" s="486">
        <v>11.255015999999999</v>
      </c>
      <c r="I199" s="91">
        <v>9.42</v>
      </c>
      <c r="J199" s="486">
        <v>11.255015999999999</v>
      </c>
      <c r="K199" s="91"/>
    </row>
    <row r="200" spans="2:11" ht="14.7" customHeight="1" outlineLevel="1" x14ac:dyDescent="0.3">
      <c r="B200" s="425">
        <f t="shared" si="4"/>
        <v>10</v>
      </c>
      <c r="C200" s="95" t="s">
        <v>694</v>
      </c>
      <c r="D200" s="429" t="s">
        <v>806</v>
      </c>
      <c r="E200" s="429" t="s">
        <v>326</v>
      </c>
      <c r="F200" s="429" t="s">
        <v>807</v>
      </c>
      <c r="G200" s="91">
        <v>6.93</v>
      </c>
      <c r="H200" s="486">
        <v>8.2799639999999979</v>
      </c>
      <c r="I200" s="91">
        <v>6.93</v>
      </c>
      <c r="J200" s="486">
        <v>8.2799639999999979</v>
      </c>
      <c r="K200" s="91"/>
    </row>
    <row r="201" spans="2:11" ht="14.7" customHeight="1" outlineLevel="1" x14ac:dyDescent="0.3">
      <c r="B201" s="425">
        <f t="shared" si="4"/>
        <v>11</v>
      </c>
      <c r="C201" s="95" t="s">
        <v>695</v>
      </c>
      <c r="D201" s="429" t="s">
        <v>806</v>
      </c>
      <c r="E201" s="429" t="s">
        <v>326</v>
      </c>
      <c r="F201" s="429" t="s">
        <v>807</v>
      </c>
      <c r="G201" s="91">
        <v>8.34</v>
      </c>
      <c r="H201" s="486">
        <v>9.9646319999999982</v>
      </c>
      <c r="I201" s="91">
        <v>8.34</v>
      </c>
      <c r="J201" s="486">
        <v>9.9646319999999982</v>
      </c>
      <c r="K201" s="91"/>
    </row>
    <row r="202" spans="2:11" ht="14.7" customHeight="1" outlineLevel="1" x14ac:dyDescent="0.3">
      <c r="B202" s="425">
        <f t="shared" si="4"/>
        <v>12</v>
      </c>
      <c r="C202" s="95" t="s">
        <v>696</v>
      </c>
      <c r="D202" s="429" t="s">
        <v>806</v>
      </c>
      <c r="E202" s="429" t="s">
        <v>326</v>
      </c>
      <c r="F202" s="429" t="s">
        <v>807</v>
      </c>
      <c r="G202" s="91">
        <v>6.29</v>
      </c>
      <c r="H202" s="486">
        <v>7.5152919999999996</v>
      </c>
      <c r="I202" s="91">
        <v>6.29</v>
      </c>
      <c r="J202" s="486">
        <v>7.5152919999999996</v>
      </c>
      <c r="K202" s="91"/>
    </row>
    <row r="203" spans="2:11" ht="14.7" customHeight="1" outlineLevel="1" x14ac:dyDescent="0.3">
      <c r="B203" s="425">
        <f t="shared" si="4"/>
        <v>13</v>
      </c>
      <c r="C203" s="95" t="s">
        <v>697</v>
      </c>
      <c r="D203" s="429" t="s">
        <v>806</v>
      </c>
      <c r="E203" s="429" t="s">
        <v>326</v>
      </c>
      <c r="F203" s="429" t="s">
        <v>807</v>
      </c>
      <c r="G203" s="91">
        <v>13.09</v>
      </c>
      <c r="H203" s="486">
        <v>15.639931999999998</v>
      </c>
      <c r="I203" s="91">
        <v>13.09</v>
      </c>
      <c r="J203" s="486">
        <v>15.639931999999998</v>
      </c>
      <c r="K203" s="91"/>
    </row>
    <row r="204" spans="2:11" ht="14.7" customHeight="1" outlineLevel="1" x14ac:dyDescent="0.3">
      <c r="B204" s="425">
        <f t="shared" si="4"/>
        <v>14</v>
      </c>
      <c r="C204" s="95" t="s">
        <v>698</v>
      </c>
      <c r="D204" s="429" t="s">
        <v>806</v>
      </c>
      <c r="E204" s="429" t="s">
        <v>326</v>
      </c>
      <c r="F204" s="429" t="s">
        <v>807</v>
      </c>
      <c r="G204" s="91">
        <v>14.83</v>
      </c>
      <c r="H204" s="486">
        <v>17.718883999999999</v>
      </c>
      <c r="I204" s="91">
        <v>14.83</v>
      </c>
      <c r="J204" s="486">
        <v>17.718883999999999</v>
      </c>
      <c r="K204" s="91"/>
    </row>
    <row r="205" spans="2:11" ht="14.7" customHeight="1" outlineLevel="1" x14ac:dyDescent="0.3">
      <c r="B205" s="425">
        <f t="shared" si="4"/>
        <v>15</v>
      </c>
      <c r="C205" s="95" t="s">
        <v>699</v>
      </c>
      <c r="D205" s="429" t="s">
        <v>806</v>
      </c>
      <c r="E205" s="429" t="s">
        <v>326</v>
      </c>
      <c r="F205" s="429" t="s">
        <v>807</v>
      </c>
      <c r="G205" s="91">
        <v>13.64</v>
      </c>
      <c r="H205" s="486">
        <v>16.297072</v>
      </c>
      <c r="I205" s="91">
        <v>13.64</v>
      </c>
      <c r="J205" s="486">
        <v>16.297072</v>
      </c>
      <c r="K205" s="91"/>
    </row>
    <row r="206" spans="2:11" ht="14.7" customHeight="1" outlineLevel="1" x14ac:dyDescent="0.3">
      <c r="B206" s="425">
        <f t="shared" si="4"/>
        <v>16</v>
      </c>
      <c r="C206" s="95" t="s">
        <v>700</v>
      </c>
      <c r="D206" s="429" t="s">
        <v>806</v>
      </c>
      <c r="E206" s="429" t="s">
        <v>326</v>
      </c>
      <c r="F206" s="429" t="s">
        <v>807</v>
      </c>
      <c r="G206" s="91">
        <v>2</v>
      </c>
      <c r="H206" s="486">
        <v>2.3895999999999997</v>
      </c>
      <c r="I206" s="91">
        <v>2</v>
      </c>
      <c r="J206" s="486">
        <v>2.3895999999999997</v>
      </c>
      <c r="K206" s="91"/>
    </row>
    <row r="207" spans="2:11" ht="14.7" customHeight="1" outlineLevel="1" x14ac:dyDescent="0.3">
      <c r="B207" s="425">
        <f t="shared" si="4"/>
        <v>17</v>
      </c>
      <c r="C207" s="95" t="s">
        <v>704</v>
      </c>
      <c r="D207" s="429" t="s">
        <v>806</v>
      </c>
      <c r="E207" s="429" t="s">
        <v>326</v>
      </c>
      <c r="F207" s="429" t="s">
        <v>813</v>
      </c>
      <c r="G207" s="91">
        <v>0.04</v>
      </c>
      <c r="H207" s="486">
        <v>4.7792000000000001E-2</v>
      </c>
      <c r="I207" s="91">
        <v>0.04</v>
      </c>
      <c r="J207" s="486">
        <v>4.7792000000000001E-2</v>
      </c>
      <c r="K207" s="91"/>
    </row>
    <row r="208" spans="2:11" ht="14.4" outlineLevel="1" x14ac:dyDescent="0.3">
      <c r="B208" s="425">
        <f t="shared" si="4"/>
        <v>18</v>
      </c>
      <c r="C208" s="95" t="s">
        <v>701</v>
      </c>
      <c r="D208" s="429" t="s">
        <v>806</v>
      </c>
      <c r="E208" s="429" t="s">
        <v>326</v>
      </c>
      <c r="F208" s="429" t="s">
        <v>813</v>
      </c>
      <c r="G208" s="91">
        <v>0.14000000000000001</v>
      </c>
      <c r="H208" s="486">
        <v>0.16727200000000003</v>
      </c>
      <c r="I208" s="91">
        <v>0.14000000000000001</v>
      </c>
      <c r="J208" s="486">
        <v>0.16727200000000003</v>
      </c>
      <c r="K208" s="91"/>
    </row>
    <row r="209" spans="2:11" ht="14.4" outlineLevel="1" x14ac:dyDescent="0.3">
      <c r="B209" s="425">
        <f t="shared" si="4"/>
        <v>19</v>
      </c>
      <c r="C209" s="95" t="s">
        <v>702</v>
      </c>
      <c r="D209" s="429" t="s">
        <v>806</v>
      </c>
      <c r="E209" s="429" t="s">
        <v>326</v>
      </c>
      <c r="F209" s="429" t="s">
        <v>813</v>
      </c>
      <c r="G209" s="91">
        <v>0.16</v>
      </c>
      <c r="H209" s="486">
        <v>0.191168</v>
      </c>
      <c r="I209" s="91">
        <v>0.16</v>
      </c>
      <c r="J209" s="486">
        <v>0.191168</v>
      </c>
      <c r="K209" s="91"/>
    </row>
    <row r="210" spans="2:11" ht="14.4" outlineLevel="1" x14ac:dyDescent="0.3">
      <c r="B210" s="425">
        <f t="shared" si="4"/>
        <v>20</v>
      </c>
      <c r="C210" s="95" t="s">
        <v>706</v>
      </c>
      <c r="D210" s="429" t="s">
        <v>806</v>
      </c>
      <c r="E210" s="429" t="s">
        <v>326</v>
      </c>
      <c r="F210" s="429" t="s">
        <v>813</v>
      </c>
      <c r="G210" s="91">
        <v>0.18</v>
      </c>
      <c r="H210" s="486">
        <v>0.21506399999999998</v>
      </c>
      <c r="I210" s="91">
        <v>0.18</v>
      </c>
      <c r="J210" s="486">
        <v>0.21506399999999998</v>
      </c>
      <c r="K210" s="91"/>
    </row>
    <row r="211" spans="2:11" ht="14.4" outlineLevel="1" x14ac:dyDescent="0.3">
      <c r="B211" s="425">
        <f t="shared" si="4"/>
        <v>21</v>
      </c>
      <c r="C211" s="95" t="s">
        <v>709</v>
      </c>
      <c r="D211" s="429" t="s">
        <v>806</v>
      </c>
      <c r="E211" s="429" t="s">
        <v>326</v>
      </c>
      <c r="F211" s="429" t="s">
        <v>813</v>
      </c>
      <c r="G211" s="91">
        <v>0.25</v>
      </c>
      <c r="H211" s="486">
        <v>0.29869999999999997</v>
      </c>
      <c r="I211" s="91">
        <v>0.25</v>
      </c>
      <c r="J211" s="486">
        <v>0.29869999999999997</v>
      </c>
      <c r="K211" s="91"/>
    </row>
    <row r="212" spans="2:11" ht="14.4" outlineLevel="1" x14ac:dyDescent="0.3">
      <c r="B212" s="425">
        <f t="shared" si="4"/>
        <v>22</v>
      </c>
      <c r="C212" s="95" t="s">
        <v>708</v>
      </c>
      <c r="D212" s="429" t="s">
        <v>806</v>
      </c>
      <c r="E212" s="429" t="s">
        <v>326</v>
      </c>
      <c r="F212" s="429" t="s">
        <v>813</v>
      </c>
      <c r="G212" s="91">
        <v>0.24</v>
      </c>
      <c r="H212" s="486">
        <v>0.28675200000000001</v>
      </c>
      <c r="I212" s="91">
        <v>0.24</v>
      </c>
      <c r="J212" s="486">
        <v>0.28675200000000001</v>
      </c>
      <c r="K212" s="91"/>
    </row>
    <row r="213" spans="2:11" ht="14.4" outlineLevel="1" x14ac:dyDescent="0.3">
      <c r="B213" s="425">
        <f t="shared" si="4"/>
        <v>23</v>
      </c>
      <c r="C213" s="95" t="s">
        <v>707</v>
      </c>
      <c r="D213" s="429" t="s">
        <v>806</v>
      </c>
      <c r="E213" s="429" t="s">
        <v>326</v>
      </c>
      <c r="F213" s="429" t="s">
        <v>813</v>
      </c>
      <c r="G213" s="91">
        <v>0.12</v>
      </c>
      <c r="H213" s="486">
        <v>0.143376</v>
      </c>
      <c r="I213" s="91">
        <v>0.12</v>
      </c>
      <c r="J213" s="486">
        <v>0.143376</v>
      </c>
      <c r="K213" s="91"/>
    </row>
    <row r="214" spans="2:11" ht="14.4" outlineLevel="1" x14ac:dyDescent="0.3">
      <c r="B214" s="425">
        <f t="shared" si="4"/>
        <v>24</v>
      </c>
      <c r="C214" s="95" t="s">
        <v>705</v>
      </c>
      <c r="D214" s="429" t="s">
        <v>806</v>
      </c>
      <c r="E214" s="429" t="s">
        <v>326</v>
      </c>
      <c r="F214" s="429" t="s">
        <v>813</v>
      </c>
      <c r="G214" s="91">
        <v>0.27</v>
      </c>
      <c r="H214" s="486">
        <v>0.32259599999999999</v>
      </c>
      <c r="I214" s="91">
        <v>0.27</v>
      </c>
      <c r="J214" s="486">
        <v>0.32259599999999999</v>
      </c>
      <c r="K214" s="91"/>
    </row>
    <row r="215" spans="2:11" ht="14.4" outlineLevel="1" x14ac:dyDescent="0.3">
      <c r="B215" s="425">
        <f t="shared" si="4"/>
        <v>25</v>
      </c>
      <c r="C215" s="95" t="s">
        <v>703</v>
      </c>
      <c r="D215" s="429" t="s">
        <v>806</v>
      </c>
      <c r="E215" s="429" t="s">
        <v>326</v>
      </c>
      <c r="F215" s="429" t="s">
        <v>813</v>
      </c>
      <c r="G215" s="91">
        <v>1.2500000000000001E-2</v>
      </c>
      <c r="H215" s="486">
        <v>1.4934999999999999E-2</v>
      </c>
      <c r="I215" s="91">
        <v>1.2500000000000001E-2</v>
      </c>
      <c r="J215" s="486">
        <v>1.4934999999999999E-2</v>
      </c>
      <c r="K215" s="91"/>
    </row>
    <row r="216" spans="2:11" ht="14.7" customHeight="1" outlineLevel="1" x14ac:dyDescent="0.3">
      <c r="B216" s="425">
        <f t="shared" si="4"/>
        <v>26</v>
      </c>
      <c r="C216" s="95" t="s">
        <v>710</v>
      </c>
      <c r="D216" s="429" t="s">
        <v>351</v>
      </c>
      <c r="E216" s="429" t="s">
        <v>326</v>
      </c>
      <c r="F216" s="429" t="s">
        <v>680</v>
      </c>
      <c r="G216" s="91">
        <v>1.48</v>
      </c>
      <c r="H216" s="486">
        <v>1.7683039999999999</v>
      </c>
      <c r="I216" s="91">
        <v>1.48</v>
      </c>
      <c r="J216" s="486">
        <v>1.7683039999999999</v>
      </c>
      <c r="K216" s="91"/>
    </row>
    <row r="217" spans="2:11" ht="14.7" customHeight="1" outlineLevel="1" x14ac:dyDescent="0.3">
      <c r="B217" s="425">
        <f t="shared" si="4"/>
        <v>27</v>
      </c>
      <c r="C217" s="95" t="s">
        <v>711</v>
      </c>
      <c r="D217" s="429" t="s">
        <v>350</v>
      </c>
      <c r="E217" s="429" t="s">
        <v>326</v>
      </c>
      <c r="F217" s="429" t="s">
        <v>680</v>
      </c>
      <c r="G217" s="91">
        <v>1.48</v>
      </c>
      <c r="H217" s="486">
        <v>1.7683039999999999</v>
      </c>
      <c r="I217" s="91">
        <v>1.48</v>
      </c>
      <c r="J217" s="486">
        <v>1.7683039999999999</v>
      </c>
      <c r="K217" s="91"/>
    </row>
    <row r="218" spans="2:11" ht="14.7" customHeight="1" outlineLevel="1" x14ac:dyDescent="0.3">
      <c r="B218" s="425">
        <f t="shared" si="4"/>
        <v>28</v>
      </c>
      <c r="C218" s="95" t="s">
        <v>814</v>
      </c>
      <c r="D218" s="429" t="s">
        <v>350</v>
      </c>
      <c r="E218" s="429" t="s">
        <v>326</v>
      </c>
      <c r="F218" s="429" t="s">
        <v>677</v>
      </c>
      <c r="G218" s="91">
        <v>100</v>
      </c>
      <c r="H218" s="486">
        <v>119.47999999999999</v>
      </c>
      <c r="I218" s="91">
        <v>100</v>
      </c>
      <c r="J218" s="486">
        <v>119.47999999999999</v>
      </c>
      <c r="K218" s="91" t="s">
        <v>815</v>
      </c>
    </row>
    <row r="219" spans="2:11" ht="14.7" customHeight="1" outlineLevel="1" x14ac:dyDescent="0.3">
      <c r="B219" s="425">
        <f t="shared" si="4"/>
        <v>29</v>
      </c>
      <c r="C219" s="95" t="s">
        <v>816</v>
      </c>
      <c r="D219" s="429" t="s">
        <v>350</v>
      </c>
      <c r="E219" s="429" t="s">
        <v>326</v>
      </c>
      <c r="F219" s="429" t="s">
        <v>677</v>
      </c>
      <c r="G219" s="91">
        <v>149.82</v>
      </c>
      <c r="H219" s="486">
        <v>179.00493599999999</v>
      </c>
      <c r="I219" s="91">
        <v>149.82</v>
      </c>
      <c r="J219" s="486">
        <v>179.00493599999999</v>
      </c>
      <c r="K219" s="91" t="s">
        <v>815</v>
      </c>
    </row>
    <row r="220" spans="2:11" ht="14.7" customHeight="1" outlineLevel="1" x14ac:dyDescent="0.3">
      <c r="B220" s="425">
        <f t="shared" si="4"/>
        <v>30</v>
      </c>
      <c r="C220" s="95" t="s">
        <v>817</v>
      </c>
      <c r="D220" s="429" t="s">
        <v>350</v>
      </c>
      <c r="E220" s="429" t="s">
        <v>326</v>
      </c>
      <c r="F220" s="429" t="s">
        <v>677</v>
      </c>
      <c r="G220" s="91">
        <v>100</v>
      </c>
      <c r="H220" s="486">
        <v>119.47999999999999</v>
      </c>
      <c r="I220" s="91">
        <v>100</v>
      </c>
      <c r="J220" s="486">
        <v>119.47999999999999</v>
      </c>
      <c r="K220" s="91" t="s">
        <v>815</v>
      </c>
    </row>
    <row r="221" spans="2:11" ht="14.7" customHeight="1" outlineLevel="1" x14ac:dyDescent="0.3">
      <c r="B221" s="425">
        <f t="shared" si="4"/>
        <v>31</v>
      </c>
      <c r="C221" s="95" t="s">
        <v>818</v>
      </c>
      <c r="D221" s="429" t="s">
        <v>806</v>
      </c>
      <c r="E221" s="429" t="s">
        <v>326</v>
      </c>
      <c r="F221" s="429" t="s">
        <v>807</v>
      </c>
      <c r="G221" s="91"/>
      <c r="H221" s="486"/>
      <c r="I221" s="91"/>
      <c r="J221" s="486"/>
      <c r="K221" s="91" t="s">
        <v>819</v>
      </c>
    </row>
    <row r="222" spans="2:11" ht="14.7" customHeight="1" outlineLevel="1" x14ac:dyDescent="0.3">
      <c r="B222" s="425">
        <f t="shared" si="4"/>
        <v>32</v>
      </c>
      <c r="C222" s="95" t="s">
        <v>820</v>
      </c>
      <c r="D222" s="429" t="s">
        <v>350</v>
      </c>
      <c r="E222" s="429" t="s">
        <v>326</v>
      </c>
      <c r="F222" s="429" t="s">
        <v>807</v>
      </c>
      <c r="G222" s="91">
        <v>1.1399999999999999</v>
      </c>
      <c r="H222" s="486">
        <v>1.3620719999999997</v>
      </c>
      <c r="I222" s="91">
        <v>1.1399999999999999</v>
      </c>
      <c r="J222" s="486">
        <v>1.3620719999999997</v>
      </c>
      <c r="K222" s="91" t="s">
        <v>815</v>
      </c>
    </row>
    <row r="223" spans="2:11" ht="14.7" customHeight="1" outlineLevel="1" x14ac:dyDescent="0.3">
      <c r="B223" s="425">
        <f t="shared" si="4"/>
        <v>33</v>
      </c>
      <c r="C223" s="95" t="s">
        <v>821</v>
      </c>
      <c r="D223" s="429" t="s">
        <v>350</v>
      </c>
      <c r="E223" s="429" t="s">
        <v>326</v>
      </c>
      <c r="F223" s="429" t="s">
        <v>807</v>
      </c>
      <c r="G223" s="91">
        <v>4.62</v>
      </c>
      <c r="H223" s="486">
        <v>5.5199759999999998</v>
      </c>
      <c r="I223" s="91">
        <v>4.62</v>
      </c>
      <c r="J223" s="486">
        <v>5.5199759999999998</v>
      </c>
      <c r="K223" s="91" t="s">
        <v>815</v>
      </c>
    </row>
    <row r="224" spans="2:11" ht="14.7" customHeight="1" outlineLevel="1" x14ac:dyDescent="0.3">
      <c r="B224" s="425">
        <f t="shared" si="4"/>
        <v>34</v>
      </c>
      <c r="C224" s="95" t="s">
        <v>822</v>
      </c>
      <c r="D224" s="429" t="s">
        <v>350</v>
      </c>
      <c r="E224" s="429" t="s">
        <v>326</v>
      </c>
      <c r="F224" s="429" t="s">
        <v>807</v>
      </c>
      <c r="G224" s="91">
        <v>1.5</v>
      </c>
      <c r="H224" s="486">
        <v>1.7921999999999998</v>
      </c>
      <c r="I224" s="91">
        <v>1.5</v>
      </c>
      <c r="J224" s="486">
        <v>1.7921999999999998</v>
      </c>
      <c r="K224" s="91" t="s">
        <v>815</v>
      </c>
    </row>
    <row r="225" spans="2:11" ht="14.7" customHeight="1" outlineLevel="1" x14ac:dyDescent="0.3">
      <c r="B225" s="425">
        <f t="shared" si="4"/>
        <v>35</v>
      </c>
      <c r="C225" s="95" t="s">
        <v>823</v>
      </c>
      <c r="D225" s="429" t="s">
        <v>350</v>
      </c>
      <c r="E225" s="429" t="s">
        <v>326</v>
      </c>
      <c r="F225" s="429" t="s">
        <v>807</v>
      </c>
      <c r="G225" s="91">
        <v>3</v>
      </c>
      <c r="H225" s="486">
        <v>3.5843999999999996</v>
      </c>
      <c r="I225" s="91">
        <v>3</v>
      </c>
      <c r="J225" s="486">
        <v>3.5843999999999996</v>
      </c>
      <c r="K225" s="91" t="s">
        <v>815</v>
      </c>
    </row>
    <row r="226" spans="2:11" ht="14.7" customHeight="1" outlineLevel="1" x14ac:dyDescent="0.3">
      <c r="B226" s="425">
        <f t="shared" si="4"/>
        <v>36</v>
      </c>
      <c r="C226" s="95" t="s">
        <v>824</v>
      </c>
      <c r="D226" s="429" t="s">
        <v>351</v>
      </c>
      <c r="E226" s="429" t="s">
        <v>326</v>
      </c>
      <c r="F226" s="429" t="s">
        <v>807</v>
      </c>
      <c r="G226" s="91">
        <v>1</v>
      </c>
      <c r="H226" s="486">
        <v>1.1947999999999999</v>
      </c>
      <c r="I226" s="91">
        <v>1</v>
      </c>
      <c r="J226" s="486">
        <v>1.1947999999999999</v>
      </c>
      <c r="K226" s="91"/>
    </row>
    <row r="227" spans="2:11" ht="14.7" customHeight="1" outlineLevel="1" x14ac:dyDescent="0.3">
      <c r="B227" s="425">
        <f t="shared" si="4"/>
        <v>37</v>
      </c>
      <c r="C227" s="95" t="s">
        <v>825</v>
      </c>
      <c r="D227" s="429" t="s">
        <v>351</v>
      </c>
      <c r="E227" s="429" t="s">
        <v>326</v>
      </c>
      <c r="F227" s="429" t="s">
        <v>807</v>
      </c>
      <c r="G227" s="91">
        <v>2</v>
      </c>
      <c r="H227" s="486">
        <v>2.3895999999999997</v>
      </c>
      <c r="I227" s="91">
        <v>2</v>
      </c>
      <c r="J227" s="486">
        <v>2.3895999999999997</v>
      </c>
      <c r="K227" s="91"/>
    </row>
    <row r="228" spans="2:11" ht="14.7" customHeight="1" outlineLevel="1" x14ac:dyDescent="0.3">
      <c r="B228" s="425">
        <f t="shared" si="4"/>
        <v>38</v>
      </c>
      <c r="C228" s="95" t="s">
        <v>826</v>
      </c>
      <c r="D228" s="429" t="s">
        <v>350</v>
      </c>
      <c r="E228" s="429" t="s">
        <v>326</v>
      </c>
      <c r="F228" s="429" t="s">
        <v>677</v>
      </c>
      <c r="G228" s="91">
        <v>86.96</v>
      </c>
      <c r="H228" s="486">
        <v>103.89980799999998</v>
      </c>
      <c r="I228" s="91">
        <v>86.96</v>
      </c>
      <c r="J228" s="486">
        <v>103.89980799999998</v>
      </c>
      <c r="K228" s="91" t="s">
        <v>815</v>
      </c>
    </row>
    <row r="229" spans="2:11" ht="14.7" customHeight="1" outlineLevel="1" x14ac:dyDescent="0.3">
      <c r="B229" s="425">
        <f t="shared" si="4"/>
        <v>39</v>
      </c>
      <c r="C229" s="95" t="s">
        <v>827</v>
      </c>
      <c r="D229" s="429" t="s">
        <v>350</v>
      </c>
      <c r="E229" s="429" t="s">
        <v>326</v>
      </c>
      <c r="F229" s="429" t="s">
        <v>677</v>
      </c>
      <c r="G229" s="91">
        <v>250.25</v>
      </c>
      <c r="H229" s="486">
        <v>298.99869999999999</v>
      </c>
      <c r="I229" s="91">
        <v>250.25</v>
      </c>
      <c r="J229" s="486">
        <v>298.99869999999999</v>
      </c>
      <c r="K229" s="91" t="s">
        <v>815</v>
      </c>
    </row>
    <row r="230" spans="2:11" ht="14.7" customHeight="1" outlineLevel="1" x14ac:dyDescent="0.3">
      <c r="B230" s="425">
        <f t="shared" si="4"/>
        <v>40</v>
      </c>
      <c r="C230" s="95" t="s">
        <v>828</v>
      </c>
      <c r="D230" s="429" t="s">
        <v>350</v>
      </c>
      <c r="E230" s="429" t="s">
        <v>326</v>
      </c>
      <c r="F230" s="429" t="s">
        <v>677</v>
      </c>
      <c r="G230" s="91">
        <v>99.6</v>
      </c>
      <c r="H230" s="486">
        <v>119.00207999999999</v>
      </c>
      <c r="I230" s="91">
        <v>99.6</v>
      </c>
      <c r="J230" s="486">
        <v>119.00207999999999</v>
      </c>
      <c r="K230" s="91" t="s">
        <v>815</v>
      </c>
    </row>
    <row r="231" spans="2:11" ht="14.7" customHeight="1" outlineLevel="1" x14ac:dyDescent="0.3">
      <c r="B231" s="425">
        <f t="shared" si="4"/>
        <v>41</v>
      </c>
      <c r="C231" s="95" t="s">
        <v>829</v>
      </c>
      <c r="D231" s="429" t="s">
        <v>351</v>
      </c>
      <c r="E231" s="429" t="s">
        <v>326</v>
      </c>
      <c r="F231" s="429" t="s">
        <v>677</v>
      </c>
      <c r="G231" s="91">
        <v>50</v>
      </c>
      <c r="H231" s="486">
        <v>59.739999999999995</v>
      </c>
      <c r="I231" s="91">
        <v>50</v>
      </c>
      <c r="J231" s="486">
        <v>59.739999999999995</v>
      </c>
      <c r="K231" s="91" t="s">
        <v>830</v>
      </c>
    </row>
    <row r="232" spans="2:11" ht="14.7" customHeight="1" outlineLevel="1" x14ac:dyDescent="0.3">
      <c r="B232" s="425">
        <f t="shared" si="4"/>
        <v>42</v>
      </c>
      <c r="C232" s="95" t="s">
        <v>831</v>
      </c>
      <c r="D232" s="429" t="s">
        <v>350</v>
      </c>
      <c r="E232" s="429" t="s">
        <v>326</v>
      </c>
      <c r="F232" s="429" t="s">
        <v>677</v>
      </c>
      <c r="G232" s="91">
        <v>58.58</v>
      </c>
      <c r="H232" s="486">
        <v>69.991383999999996</v>
      </c>
      <c r="I232" s="91">
        <v>58.58</v>
      </c>
      <c r="J232" s="486">
        <v>69.991383999999996</v>
      </c>
      <c r="K232" s="91" t="s">
        <v>815</v>
      </c>
    </row>
    <row r="233" spans="2:11" ht="14.7" customHeight="1" outlineLevel="1" x14ac:dyDescent="0.3">
      <c r="B233" s="425">
        <f t="shared" si="4"/>
        <v>43</v>
      </c>
      <c r="C233" s="95" t="s">
        <v>832</v>
      </c>
      <c r="D233" s="429" t="s">
        <v>350</v>
      </c>
      <c r="E233" s="429" t="s">
        <v>326</v>
      </c>
      <c r="F233" s="429" t="s">
        <v>677</v>
      </c>
      <c r="G233" s="91">
        <v>41.01</v>
      </c>
      <c r="H233" s="486">
        <v>48.998747999999999</v>
      </c>
      <c r="I233" s="91">
        <v>41.01</v>
      </c>
      <c r="J233" s="486">
        <v>48.998747999999999</v>
      </c>
      <c r="K233" s="91" t="s">
        <v>815</v>
      </c>
    </row>
    <row r="234" spans="2:11" ht="14.7" customHeight="1" outlineLevel="1" x14ac:dyDescent="0.3">
      <c r="B234" s="425">
        <f t="shared" si="4"/>
        <v>44</v>
      </c>
      <c r="C234" s="95" t="s">
        <v>382</v>
      </c>
      <c r="D234" s="429" t="s">
        <v>350</v>
      </c>
      <c r="E234" s="429" t="s">
        <v>326</v>
      </c>
      <c r="F234" s="429" t="s">
        <v>677</v>
      </c>
      <c r="G234" s="91">
        <v>125.54</v>
      </c>
      <c r="H234" s="486">
        <v>149.995192</v>
      </c>
      <c r="I234" s="91">
        <v>125.54</v>
      </c>
      <c r="J234" s="486">
        <v>149.995192</v>
      </c>
      <c r="K234" s="91" t="s">
        <v>815</v>
      </c>
    </row>
    <row r="235" spans="2:11" ht="14.7" customHeight="1" outlineLevel="1" x14ac:dyDescent="0.3">
      <c r="B235" s="425">
        <f t="shared" si="4"/>
        <v>45</v>
      </c>
      <c r="C235" s="95" t="s">
        <v>833</v>
      </c>
      <c r="D235" s="429" t="s">
        <v>351</v>
      </c>
      <c r="E235" s="429" t="s">
        <v>326</v>
      </c>
      <c r="F235" s="429" t="s">
        <v>677</v>
      </c>
      <c r="G235" s="91">
        <v>83.7</v>
      </c>
      <c r="H235" s="486">
        <v>100.00476</v>
      </c>
      <c r="I235" s="91">
        <v>83.7</v>
      </c>
      <c r="J235" s="486">
        <v>100.00476</v>
      </c>
      <c r="K235" s="91" t="s">
        <v>834</v>
      </c>
    </row>
    <row r="236" spans="2:11" ht="14.4" outlineLevel="1" x14ac:dyDescent="0.3">
      <c r="B236" s="425">
        <f t="shared" si="4"/>
        <v>46</v>
      </c>
      <c r="C236" s="95" t="s">
        <v>722</v>
      </c>
      <c r="D236" s="429" t="s">
        <v>806</v>
      </c>
      <c r="E236" s="429" t="s">
        <v>326</v>
      </c>
      <c r="F236" s="429" t="s">
        <v>807</v>
      </c>
      <c r="G236" s="91">
        <v>1.48</v>
      </c>
      <c r="H236" s="486">
        <v>1.7683039999999999</v>
      </c>
      <c r="I236" s="91">
        <v>1.48</v>
      </c>
      <c r="J236" s="486">
        <v>1.7683039999999999</v>
      </c>
      <c r="K236" s="91"/>
    </row>
    <row r="237" spans="2:11" ht="14.4" outlineLevel="1" x14ac:dyDescent="0.3">
      <c r="B237" s="425">
        <f t="shared" si="4"/>
        <v>47</v>
      </c>
      <c r="C237" s="95" t="s">
        <v>717</v>
      </c>
      <c r="D237" s="429" t="s">
        <v>806</v>
      </c>
      <c r="E237" s="429" t="s">
        <v>326</v>
      </c>
      <c r="F237" s="429" t="s">
        <v>807</v>
      </c>
      <c r="G237" s="91">
        <v>4.57</v>
      </c>
      <c r="H237" s="486">
        <v>5.4602360000000001</v>
      </c>
      <c r="I237" s="91">
        <v>4.57</v>
      </c>
      <c r="J237" s="486">
        <v>5.4602360000000001</v>
      </c>
      <c r="K237" s="91"/>
    </row>
    <row r="238" spans="2:11" ht="14.4" outlineLevel="1" x14ac:dyDescent="0.3">
      <c r="B238" s="425">
        <f t="shared" si="4"/>
        <v>48</v>
      </c>
      <c r="C238" s="95" t="s">
        <v>718</v>
      </c>
      <c r="D238" s="429" t="s">
        <v>806</v>
      </c>
      <c r="E238" s="429" t="s">
        <v>326</v>
      </c>
      <c r="F238" s="429" t="s">
        <v>807</v>
      </c>
      <c r="G238" s="91">
        <v>4.57</v>
      </c>
      <c r="H238" s="486">
        <v>5.4602360000000001</v>
      </c>
      <c r="I238" s="91">
        <v>4.57</v>
      </c>
      <c r="J238" s="486">
        <v>5.4602360000000001</v>
      </c>
      <c r="K238" s="91"/>
    </row>
    <row r="239" spans="2:11" ht="14.4" outlineLevel="1" x14ac:dyDescent="0.3">
      <c r="B239" s="425">
        <f t="shared" si="4"/>
        <v>49</v>
      </c>
      <c r="C239" s="95" t="s">
        <v>719</v>
      </c>
      <c r="D239" s="429" t="s">
        <v>806</v>
      </c>
      <c r="E239" s="429" t="s">
        <v>326</v>
      </c>
      <c r="F239" s="429" t="s">
        <v>807</v>
      </c>
      <c r="G239" s="91">
        <v>5.71</v>
      </c>
      <c r="H239" s="486">
        <v>6.8223079999999996</v>
      </c>
      <c r="I239" s="91">
        <v>5.71</v>
      </c>
      <c r="J239" s="486">
        <v>6.8223079999999996</v>
      </c>
      <c r="K239" s="91"/>
    </row>
    <row r="240" spans="2:11" ht="14.4" outlineLevel="1" x14ac:dyDescent="0.3">
      <c r="B240" s="425">
        <f t="shared" si="4"/>
        <v>50</v>
      </c>
      <c r="C240" s="95" t="s">
        <v>724</v>
      </c>
      <c r="D240" s="429" t="s">
        <v>806</v>
      </c>
      <c r="E240" s="429" t="s">
        <v>326</v>
      </c>
      <c r="F240" s="429" t="s">
        <v>807</v>
      </c>
      <c r="G240" s="91">
        <v>4</v>
      </c>
      <c r="H240" s="486">
        <v>4.7791999999999994</v>
      </c>
      <c r="I240" s="91">
        <v>4</v>
      </c>
      <c r="J240" s="486">
        <v>4.7791999999999994</v>
      </c>
      <c r="K240" s="91"/>
    </row>
    <row r="241" spans="2:11" ht="14.4" outlineLevel="1" x14ac:dyDescent="0.3">
      <c r="B241" s="425">
        <f t="shared" si="4"/>
        <v>51</v>
      </c>
      <c r="C241" s="95" t="s">
        <v>721</v>
      </c>
      <c r="D241" s="429" t="s">
        <v>806</v>
      </c>
      <c r="E241" s="429" t="s">
        <v>326</v>
      </c>
      <c r="F241" s="429" t="s">
        <v>807</v>
      </c>
      <c r="G241" s="91">
        <v>9</v>
      </c>
      <c r="H241" s="486">
        <v>10.7532</v>
      </c>
      <c r="I241" s="91">
        <v>9</v>
      </c>
      <c r="J241" s="486">
        <v>10.7532</v>
      </c>
      <c r="K241" s="91"/>
    </row>
    <row r="242" spans="2:11" ht="14.4" outlineLevel="1" x14ac:dyDescent="0.3">
      <c r="B242" s="425">
        <f t="shared" si="4"/>
        <v>52</v>
      </c>
      <c r="C242" s="95" t="s">
        <v>720</v>
      </c>
      <c r="D242" s="429" t="s">
        <v>806</v>
      </c>
      <c r="E242" s="429" t="s">
        <v>326</v>
      </c>
      <c r="F242" s="429" t="s">
        <v>807</v>
      </c>
      <c r="G242" s="91">
        <v>8</v>
      </c>
      <c r="H242" s="486">
        <v>9.5583999999999989</v>
      </c>
      <c r="I242" s="91">
        <v>8</v>
      </c>
      <c r="J242" s="486">
        <v>9.5583999999999989</v>
      </c>
      <c r="K242" s="91"/>
    </row>
    <row r="243" spans="2:11" ht="14.4" outlineLevel="1" x14ac:dyDescent="0.3">
      <c r="B243" s="425">
        <f t="shared" si="4"/>
        <v>53</v>
      </c>
      <c r="C243" s="95" t="s">
        <v>723</v>
      </c>
      <c r="D243" s="429" t="s">
        <v>806</v>
      </c>
      <c r="E243" s="429" t="s">
        <v>326</v>
      </c>
      <c r="F243" s="429" t="s">
        <v>807</v>
      </c>
      <c r="G243" s="91">
        <v>10</v>
      </c>
      <c r="H243" s="486">
        <v>11.948</v>
      </c>
      <c r="I243" s="91">
        <v>10</v>
      </c>
      <c r="J243" s="486">
        <v>11.948</v>
      </c>
      <c r="K243" s="91"/>
    </row>
    <row r="244" spans="2:11" ht="14.4" outlineLevel="1" x14ac:dyDescent="0.3">
      <c r="B244" s="425">
        <f t="shared" si="4"/>
        <v>54</v>
      </c>
      <c r="C244" s="95" t="s">
        <v>715</v>
      </c>
      <c r="D244" s="429" t="s">
        <v>351</v>
      </c>
      <c r="E244" s="429" t="s">
        <v>326</v>
      </c>
      <c r="F244" s="429" t="s">
        <v>677</v>
      </c>
      <c r="G244" s="91">
        <v>200</v>
      </c>
      <c r="H244" s="486">
        <v>238.96</v>
      </c>
      <c r="I244" s="91">
        <v>200</v>
      </c>
      <c r="J244" s="486">
        <v>238.96</v>
      </c>
      <c r="K244" s="91"/>
    </row>
    <row r="245" spans="2:11" ht="14.4" outlineLevel="1" x14ac:dyDescent="0.3">
      <c r="B245" s="425">
        <f t="shared" si="4"/>
        <v>55</v>
      </c>
      <c r="C245" s="95" t="s">
        <v>716</v>
      </c>
      <c r="D245" s="429" t="s">
        <v>351</v>
      </c>
      <c r="E245" s="429" t="s">
        <v>326</v>
      </c>
      <c r="F245" s="429" t="s">
        <v>677</v>
      </c>
      <c r="G245" s="91">
        <v>500</v>
      </c>
      <c r="H245" s="486">
        <v>597.4</v>
      </c>
      <c r="I245" s="91">
        <v>500</v>
      </c>
      <c r="J245" s="486">
        <v>597.4</v>
      </c>
      <c r="K245" s="91"/>
    </row>
    <row r="246" spans="2:11" ht="14.4" outlineLevel="1" x14ac:dyDescent="0.3">
      <c r="B246" s="425">
        <f t="shared" si="4"/>
        <v>56</v>
      </c>
      <c r="C246" s="95" t="s">
        <v>835</v>
      </c>
      <c r="D246" s="429" t="s">
        <v>350</v>
      </c>
      <c r="E246" s="429" t="s">
        <v>326</v>
      </c>
      <c r="F246" s="429" t="s">
        <v>677</v>
      </c>
      <c r="G246" s="91">
        <v>290</v>
      </c>
      <c r="H246" s="486">
        <v>346.49199999999996</v>
      </c>
      <c r="I246" s="91">
        <v>290</v>
      </c>
      <c r="J246" s="486">
        <v>346.49199999999996</v>
      </c>
      <c r="K246" s="91" t="s">
        <v>836</v>
      </c>
    </row>
    <row r="247" spans="2:11" ht="14.4" outlineLevel="1" x14ac:dyDescent="0.3">
      <c r="B247" s="425">
        <f t="shared" si="4"/>
        <v>57</v>
      </c>
      <c r="C247" s="95" t="s">
        <v>837</v>
      </c>
      <c r="D247" s="429" t="s">
        <v>350</v>
      </c>
      <c r="E247" s="429" t="s">
        <v>326</v>
      </c>
      <c r="F247" s="429" t="s">
        <v>677</v>
      </c>
      <c r="G247" s="91">
        <v>420</v>
      </c>
      <c r="H247" s="486">
        <v>501.81599999999997</v>
      </c>
      <c r="I247" s="91">
        <v>420</v>
      </c>
      <c r="J247" s="486">
        <v>501.81599999999997</v>
      </c>
      <c r="K247" s="91" t="s">
        <v>836</v>
      </c>
    </row>
    <row r="248" spans="2:11" ht="14.4" outlineLevel="1" x14ac:dyDescent="0.3">
      <c r="B248" s="425">
        <f t="shared" si="4"/>
        <v>58</v>
      </c>
      <c r="C248" s="95" t="s">
        <v>838</v>
      </c>
      <c r="D248" s="429" t="s">
        <v>350</v>
      </c>
      <c r="E248" s="429" t="s">
        <v>326</v>
      </c>
      <c r="F248" s="429" t="s">
        <v>677</v>
      </c>
      <c r="G248" s="91">
        <v>540</v>
      </c>
      <c r="H248" s="486">
        <v>645.19200000000001</v>
      </c>
      <c r="I248" s="91">
        <v>540</v>
      </c>
      <c r="J248" s="486">
        <v>645.19200000000001</v>
      </c>
      <c r="K248" s="91" t="s">
        <v>836</v>
      </c>
    </row>
    <row r="249" spans="2:11" ht="14.4" outlineLevel="1" x14ac:dyDescent="0.3">
      <c r="B249" s="425">
        <f t="shared" si="4"/>
        <v>59</v>
      </c>
      <c r="C249" s="95" t="s">
        <v>713</v>
      </c>
      <c r="D249" s="429" t="s">
        <v>351</v>
      </c>
      <c r="E249" s="429" t="s">
        <v>326</v>
      </c>
      <c r="F249" s="429" t="s">
        <v>677</v>
      </c>
      <c r="G249" s="91">
        <v>450</v>
      </c>
      <c r="H249" s="486">
        <v>537.66</v>
      </c>
      <c r="I249" s="91">
        <v>450</v>
      </c>
      <c r="J249" s="486">
        <v>537.66</v>
      </c>
      <c r="K249" s="91"/>
    </row>
    <row r="250" spans="2:11" ht="14.4" outlineLevel="1" x14ac:dyDescent="0.3">
      <c r="B250" s="425">
        <f t="shared" si="4"/>
        <v>60</v>
      </c>
      <c r="C250" s="95" t="s">
        <v>714</v>
      </c>
      <c r="D250" s="429" t="s">
        <v>351</v>
      </c>
      <c r="E250" s="429" t="s">
        <v>326</v>
      </c>
      <c r="F250" s="429" t="s">
        <v>677</v>
      </c>
      <c r="G250" s="91">
        <v>798</v>
      </c>
      <c r="H250" s="486">
        <v>953.45039999999995</v>
      </c>
      <c r="I250" s="91">
        <v>798</v>
      </c>
      <c r="J250" s="486">
        <v>953.45039999999995</v>
      </c>
      <c r="K250" s="91"/>
    </row>
    <row r="251" spans="2:11" ht="14.4" outlineLevel="1" x14ac:dyDescent="0.3">
      <c r="B251" s="425">
        <f t="shared" si="4"/>
        <v>61</v>
      </c>
      <c r="C251" s="95" t="s">
        <v>712</v>
      </c>
      <c r="D251" s="429" t="s">
        <v>351</v>
      </c>
      <c r="E251" s="429" t="s">
        <v>326</v>
      </c>
      <c r="F251" s="429" t="s">
        <v>677</v>
      </c>
      <c r="G251" s="91">
        <v>1198</v>
      </c>
      <c r="H251" s="486">
        <v>1431.3703999999998</v>
      </c>
      <c r="I251" s="91">
        <v>1198</v>
      </c>
      <c r="J251" s="486">
        <v>1431.3703999999998</v>
      </c>
      <c r="K251" s="91"/>
    </row>
    <row r="252" spans="2:11" ht="14.4" outlineLevel="1" x14ac:dyDescent="0.3">
      <c r="B252" s="425">
        <f t="shared" si="4"/>
        <v>62</v>
      </c>
      <c r="C252" s="95" t="s">
        <v>839</v>
      </c>
      <c r="D252" s="429" t="s">
        <v>806</v>
      </c>
      <c r="E252" s="429" t="s">
        <v>326</v>
      </c>
      <c r="F252" s="429" t="s">
        <v>677</v>
      </c>
      <c r="G252" s="91">
        <v>100</v>
      </c>
      <c r="H252" s="486">
        <v>119.47999999999999</v>
      </c>
      <c r="I252" s="91">
        <v>100</v>
      </c>
      <c r="J252" s="486">
        <v>119.47999999999999</v>
      </c>
      <c r="K252" s="91" t="s">
        <v>840</v>
      </c>
    </row>
    <row r="253" spans="2:11" ht="14.4" outlineLevel="1" x14ac:dyDescent="0.3">
      <c r="B253" s="425">
        <f t="shared" si="4"/>
        <v>63</v>
      </c>
      <c r="C253" s="95" t="s">
        <v>841</v>
      </c>
      <c r="D253" s="429" t="s">
        <v>806</v>
      </c>
      <c r="E253" s="429" t="s">
        <v>326</v>
      </c>
      <c r="F253" s="429" t="s">
        <v>677</v>
      </c>
      <c r="G253" s="91">
        <v>150</v>
      </c>
      <c r="H253" s="486">
        <v>179.22</v>
      </c>
      <c r="I253" s="91">
        <v>150</v>
      </c>
      <c r="J253" s="486">
        <v>179.22</v>
      </c>
      <c r="K253" s="91" t="s">
        <v>840</v>
      </c>
    </row>
    <row r="254" spans="2:11" ht="14.4" outlineLevel="1" x14ac:dyDescent="0.3">
      <c r="B254" s="425">
        <f t="shared" si="4"/>
        <v>64</v>
      </c>
      <c r="C254" s="95" t="s">
        <v>842</v>
      </c>
      <c r="D254" s="429" t="s">
        <v>806</v>
      </c>
      <c r="E254" s="429" t="s">
        <v>326</v>
      </c>
      <c r="F254" s="429" t="s">
        <v>677</v>
      </c>
      <c r="G254" s="91">
        <v>300</v>
      </c>
      <c r="H254" s="486">
        <v>358.44</v>
      </c>
      <c r="I254" s="91">
        <v>300</v>
      </c>
      <c r="J254" s="486">
        <v>358.44</v>
      </c>
      <c r="K254" s="91" t="s">
        <v>840</v>
      </c>
    </row>
    <row r="255" spans="2:11" ht="14.4" outlineLevel="1" x14ac:dyDescent="0.3">
      <c r="B255" s="425">
        <f t="shared" si="4"/>
        <v>65</v>
      </c>
      <c r="C255" s="95" t="s">
        <v>843</v>
      </c>
      <c r="D255" s="429" t="s">
        <v>351</v>
      </c>
      <c r="E255" s="429" t="s">
        <v>326</v>
      </c>
      <c r="F255" s="429" t="s">
        <v>677</v>
      </c>
      <c r="G255" s="91">
        <v>149</v>
      </c>
      <c r="H255" s="486">
        <v>178.02519999999998</v>
      </c>
      <c r="I255" s="91">
        <v>149</v>
      </c>
      <c r="J255" s="486">
        <v>178.02519999999998</v>
      </c>
      <c r="K255" s="91" t="s">
        <v>844</v>
      </c>
    </row>
    <row r="256" spans="2:11" ht="14.4" outlineLevel="1" x14ac:dyDescent="0.3">
      <c r="B256" s="425">
        <f t="shared" si="4"/>
        <v>66</v>
      </c>
      <c r="C256" s="95" t="s">
        <v>737</v>
      </c>
      <c r="D256" s="429" t="s">
        <v>806</v>
      </c>
      <c r="E256" s="429" t="s">
        <v>791</v>
      </c>
      <c r="F256" s="429" t="s">
        <v>809</v>
      </c>
      <c r="G256" s="91">
        <v>25</v>
      </c>
      <c r="H256" s="486">
        <v>29</v>
      </c>
      <c r="I256" s="91">
        <v>25</v>
      </c>
      <c r="J256" s="486">
        <v>29</v>
      </c>
      <c r="K256" s="91" t="s">
        <v>845</v>
      </c>
    </row>
    <row r="257" spans="2:11" ht="14.4" outlineLevel="1" x14ac:dyDescent="0.3">
      <c r="B257" s="425">
        <f t="shared" ref="B257:B273" si="5">1+B256</f>
        <v>67</v>
      </c>
      <c r="C257" s="95" t="s">
        <v>738</v>
      </c>
      <c r="D257" s="429" t="s">
        <v>806</v>
      </c>
      <c r="E257" s="429" t="s">
        <v>791</v>
      </c>
      <c r="F257" s="429" t="s">
        <v>809</v>
      </c>
      <c r="G257" s="91">
        <v>102.59</v>
      </c>
      <c r="H257" s="486">
        <v>119</v>
      </c>
      <c r="I257" s="91">
        <v>102.59</v>
      </c>
      <c r="J257" s="486">
        <v>119</v>
      </c>
      <c r="K257" s="91" t="s">
        <v>845</v>
      </c>
    </row>
    <row r="258" spans="2:11" ht="14.4" outlineLevel="1" x14ac:dyDescent="0.3">
      <c r="B258" s="425">
        <f t="shared" si="5"/>
        <v>68</v>
      </c>
      <c r="C258" s="95" t="s">
        <v>739</v>
      </c>
      <c r="D258" s="429" t="s">
        <v>806</v>
      </c>
      <c r="E258" s="429" t="s">
        <v>791</v>
      </c>
      <c r="F258" s="429" t="s">
        <v>809</v>
      </c>
      <c r="G258" s="91">
        <v>180.17</v>
      </c>
      <c r="H258" s="486">
        <v>209</v>
      </c>
      <c r="I258" s="91">
        <v>180.17</v>
      </c>
      <c r="J258" s="486">
        <v>209</v>
      </c>
      <c r="K258" s="91" t="s">
        <v>845</v>
      </c>
    </row>
    <row r="259" spans="2:11" ht="14.4" outlineLevel="1" x14ac:dyDescent="0.3">
      <c r="B259" s="425">
        <f t="shared" si="5"/>
        <v>69</v>
      </c>
      <c r="C259" s="95" t="s">
        <v>740</v>
      </c>
      <c r="D259" s="429" t="s">
        <v>806</v>
      </c>
      <c r="E259" s="429" t="s">
        <v>791</v>
      </c>
      <c r="F259" s="429" t="s">
        <v>809</v>
      </c>
      <c r="G259" s="91">
        <v>42.24</v>
      </c>
      <c r="H259" s="486">
        <v>49</v>
      </c>
      <c r="I259" s="91">
        <v>42.24</v>
      </c>
      <c r="J259" s="486">
        <v>49</v>
      </c>
      <c r="K259" s="91" t="s">
        <v>845</v>
      </c>
    </row>
    <row r="260" spans="2:11" ht="14.4" outlineLevel="1" x14ac:dyDescent="0.3">
      <c r="B260" s="425">
        <f t="shared" si="5"/>
        <v>70</v>
      </c>
      <c r="C260" s="95" t="s">
        <v>741</v>
      </c>
      <c r="D260" s="429" t="s">
        <v>806</v>
      </c>
      <c r="E260" s="429" t="s">
        <v>791</v>
      </c>
      <c r="F260" s="429" t="s">
        <v>809</v>
      </c>
      <c r="G260" s="91">
        <v>128.44999999999999</v>
      </c>
      <c r="H260" s="486">
        <v>149</v>
      </c>
      <c r="I260" s="91">
        <v>128.44999999999999</v>
      </c>
      <c r="J260" s="486">
        <v>149</v>
      </c>
      <c r="K260" s="91" t="s">
        <v>845</v>
      </c>
    </row>
    <row r="261" spans="2:11" ht="14.4" outlineLevel="1" x14ac:dyDescent="0.3">
      <c r="B261" s="425">
        <f t="shared" si="5"/>
        <v>71</v>
      </c>
      <c r="C261" s="95" t="s">
        <v>742</v>
      </c>
      <c r="D261" s="429" t="s">
        <v>806</v>
      </c>
      <c r="E261" s="429" t="s">
        <v>791</v>
      </c>
      <c r="F261" s="429" t="s">
        <v>809</v>
      </c>
      <c r="G261" s="91">
        <v>257.76</v>
      </c>
      <c r="H261" s="486">
        <v>299</v>
      </c>
      <c r="I261" s="91">
        <v>257.76</v>
      </c>
      <c r="J261" s="486">
        <v>299</v>
      </c>
      <c r="K261" s="91" t="s">
        <v>845</v>
      </c>
    </row>
    <row r="262" spans="2:11" ht="14.4" outlineLevel="1" x14ac:dyDescent="0.3">
      <c r="B262" s="425">
        <f t="shared" si="5"/>
        <v>72</v>
      </c>
      <c r="C262" s="95" t="s">
        <v>743</v>
      </c>
      <c r="D262" s="429" t="s">
        <v>806</v>
      </c>
      <c r="E262" s="429" t="s">
        <v>791</v>
      </c>
      <c r="F262" s="429" t="s">
        <v>809</v>
      </c>
      <c r="G262" s="91">
        <v>52.59</v>
      </c>
      <c r="H262" s="486">
        <v>61</v>
      </c>
      <c r="I262" s="91">
        <v>52.59</v>
      </c>
      <c r="J262" s="486">
        <v>61</v>
      </c>
      <c r="K262" s="91" t="s">
        <v>846</v>
      </c>
    </row>
    <row r="263" spans="2:11" ht="14.4" outlineLevel="1" x14ac:dyDescent="0.3">
      <c r="B263" s="425">
        <f t="shared" si="5"/>
        <v>73</v>
      </c>
      <c r="C263" s="95" t="s">
        <v>744</v>
      </c>
      <c r="D263" s="429" t="s">
        <v>806</v>
      </c>
      <c r="E263" s="429" t="s">
        <v>791</v>
      </c>
      <c r="F263" s="429" t="s">
        <v>809</v>
      </c>
      <c r="G263" s="91">
        <v>171.55</v>
      </c>
      <c r="H263" s="486">
        <v>199</v>
      </c>
      <c r="I263" s="91">
        <v>171.55</v>
      </c>
      <c r="J263" s="486">
        <v>199</v>
      </c>
      <c r="K263" s="91" t="s">
        <v>846</v>
      </c>
    </row>
    <row r="264" spans="2:11" ht="14.4" outlineLevel="1" x14ac:dyDescent="0.3">
      <c r="B264" s="425">
        <f t="shared" si="5"/>
        <v>74</v>
      </c>
      <c r="C264" s="95" t="s">
        <v>745</v>
      </c>
      <c r="D264" s="429" t="s">
        <v>806</v>
      </c>
      <c r="E264" s="429" t="s">
        <v>791</v>
      </c>
      <c r="F264" s="429" t="s">
        <v>809</v>
      </c>
      <c r="G264" s="91">
        <v>343.97</v>
      </c>
      <c r="H264" s="486">
        <v>399</v>
      </c>
      <c r="I264" s="91">
        <v>343.97</v>
      </c>
      <c r="J264" s="486">
        <v>399</v>
      </c>
      <c r="K264" s="91" t="s">
        <v>846</v>
      </c>
    </row>
    <row r="265" spans="2:11" ht="14.4" outlineLevel="1" x14ac:dyDescent="0.3">
      <c r="B265" s="425">
        <f t="shared" si="5"/>
        <v>75</v>
      </c>
      <c r="C265" s="95" t="s">
        <v>746</v>
      </c>
      <c r="D265" s="429" t="s">
        <v>350</v>
      </c>
      <c r="E265" s="429" t="s">
        <v>791</v>
      </c>
      <c r="F265" s="429" t="s">
        <v>809</v>
      </c>
      <c r="G265" s="91">
        <v>25</v>
      </c>
      <c r="H265" s="486">
        <v>29</v>
      </c>
      <c r="I265" s="91">
        <v>25</v>
      </c>
      <c r="J265" s="486">
        <v>29</v>
      </c>
      <c r="K265" s="91" t="s">
        <v>847</v>
      </c>
    </row>
    <row r="266" spans="2:11" ht="14.4" outlineLevel="1" x14ac:dyDescent="0.3">
      <c r="B266" s="425">
        <f t="shared" si="5"/>
        <v>76</v>
      </c>
      <c r="C266" s="95" t="s">
        <v>747</v>
      </c>
      <c r="D266" s="429" t="s">
        <v>350</v>
      </c>
      <c r="E266" s="429" t="s">
        <v>791</v>
      </c>
      <c r="F266" s="429" t="s">
        <v>809</v>
      </c>
      <c r="G266" s="91">
        <v>102.59</v>
      </c>
      <c r="H266" s="486">
        <v>119</v>
      </c>
      <c r="I266" s="91">
        <v>102.59</v>
      </c>
      <c r="J266" s="486">
        <v>119</v>
      </c>
      <c r="K266" s="91" t="s">
        <v>847</v>
      </c>
    </row>
    <row r="267" spans="2:11" ht="14.4" outlineLevel="1" x14ac:dyDescent="0.3">
      <c r="B267" s="425">
        <f t="shared" si="5"/>
        <v>77</v>
      </c>
      <c r="C267" s="95" t="s">
        <v>748</v>
      </c>
      <c r="D267" s="429" t="s">
        <v>350</v>
      </c>
      <c r="E267" s="429" t="s">
        <v>791</v>
      </c>
      <c r="F267" s="429" t="s">
        <v>809</v>
      </c>
      <c r="G267" s="91">
        <v>180.17</v>
      </c>
      <c r="H267" s="486">
        <v>209</v>
      </c>
      <c r="I267" s="91">
        <v>180.17</v>
      </c>
      <c r="J267" s="486">
        <v>209</v>
      </c>
      <c r="K267" s="91" t="s">
        <v>847</v>
      </c>
    </row>
    <row r="268" spans="2:11" ht="14.4" outlineLevel="1" x14ac:dyDescent="0.3">
      <c r="B268" s="425">
        <f t="shared" si="5"/>
        <v>78</v>
      </c>
      <c r="C268" s="95" t="s">
        <v>749</v>
      </c>
      <c r="D268" s="429" t="s">
        <v>350</v>
      </c>
      <c r="E268" s="429" t="s">
        <v>791</v>
      </c>
      <c r="F268" s="429" t="s">
        <v>809</v>
      </c>
      <c r="G268" s="91">
        <v>42.24</v>
      </c>
      <c r="H268" s="486">
        <v>49</v>
      </c>
      <c r="I268" s="91">
        <v>42.24</v>
      </c>
      <c r="J268" s="486">
        <v>49</v>
      </c>
      <c r="K268" s="91" t="s">
        <v>847</v>
      </c>
    </row>
    <row r="269" spans="2:11" ht="14.4" outlineLevel="1" x14ac:dyDescent="0.3">
      <c r="B269" s="425">
        <f t="shared" si="5"/>
        <v>79</v>
      </c>
      <c r="C269" s="95" t="s">
        <v>750</v>
      </c>
      <c r="D269" s="429" t="s">
        <v>350</v>
      </c>
      <c r="E269" s="429" t="s">
        <v>791</v>
      </c>
      <c r="F269" s="429" t="s">
        <v>809</v>
      </c>
      <c r="G269" s="91">
        <v>128.44999999999999</v>
      </c>
      <c r="H269" s="486">
        <v>149</v>
      </c>
      <c r="I269" s="91">
        <v>128.44999999999999</v>
      </c>
      <c r="J269" s="486">
        <v>149</v>
      </c>
      <c r="K269" s="91" t="s">
        <v>847</v>
      </c>
    </row>
    <row r="270" spans="2:11" ht="14.4" x14ac:dyDescent="0.3">
      <c r="B270" s="425">
        <f t="shared" si="5"/>
        <v>80</v>
      </c>
      <c r="C270" s="95" t="s">
        <v>751</v>
      </c>
      <c r="D270" s="429" t="s">
        <v>350</v>
      </c>
      <c r="E270" s="429" t="s">
        <v>791</v>
      </c>
      <c r="F270" s="429" t="s">
        <v>809</v>
      </c>
      <c r="G270" s="91">
        <v>257.76</v>
      </c>
      <c r="H270" s="486">
        <v>299</v>
      </c>
      <c r="I270" s="91">
        <v>257.76</v>
      </c>
      <c r="J270" s="486">
        <v>299</v>
      </c>
      <c r="K270" s="91" t="s">
        <v>847</v>
      </c>
    </row>
    <row r="271" spans="2:11" ht="14.4" x14ac:dyDescent="0.3">
      <c r="B271" s="425">
        <f t="shared" si="5"/>
        <v>81</v>
      </c>
      <c r="C271" s="95" t="s">
        <v>752</v>
      </c>
      <c r="D271" s="429" t="s">
        <v>350</v>
      </c>
      <c r="E271" s="429" t="s">
        <v>791</v>
      </c>
      <c r="F271" s="429" t="s">
        <v>809</v>
      </c>
      <c r="G271" s="91">
        <v>52.59</v>
      </c>
      <c r="H271" s="486">
        <v>61</v>
      </c>
      <c r="I271" s="91">
        <v>52.59</v>
      </c>
      <c r="J271" s="486">
        <v>61</v>
      </c>
      <c r="K271" s="91" t="s">
        <v>848</v>
      </c>
    </row>
    <row r="272" spans="2:11" ht="14.4" x14ac:dyDescent="0.3">
      <c r="B272" s="425">
        <f t="shared" si="5"/>
        <v>82</v>
      </c>
      <c r="C272" s="95" t="s">
        <v>753</v>
      </c>
      <c r="D272" s="429" t="s">
        <v>350</v>
      </c>
      <c r="E272" s="429" t="s">
        <v>791</v>
      </c>
      <c r="F272" s="429" t="s">
        <v>809</v>
      </c>
      <c r="G272" s="91">
        <v>171.55</v>
      </c>
      <c r="H272" s="486">
        <v>199</v>
      </c>
      <c r="I272" s="91">
        <v>171.55</v>
      </c>
      <c r="J272" s="486">
        <v>199</v>
      </c>
      <c r="K272" s="91" t="s">
        <v>848</v>
      </c>
    </row>
    <row r="273" spans="1:116" ht="14.4" x14ac:dyDescent="0.3">
      <c r="B273" s="425">
        <f t="shared" si="5"/>
        <v>83</v>
      </c>
      <c r="C273" s="95" t="s">
        <v>754</v>
      </c>
      <c r="D273" s="429" t="s">
        <v>350</v>
      </c>
      <c r="E273" s="429" t="s">
        <v>791</v>
      </c>
      <c r="F273" s="429" t="s">
        <v>809</v>
      </c>
      <c r="G273" s="91">
        <v>343.97</v>
      </c>
      <c r="H273" s="486">
        <v>399</v>
      </c>
      <c r="I273" s="91">
        <v>343.97</v>
      </c>
      <c r="J273" s="486">
        <v>399</v>
      </c>
      <c r="K273" s="91" t="s">
        <v>848</v>
      </c>
    </row>
    <row r="274" spans="1:116" ht="12" x14ac:dyDescent="0.2">
      <c r="C274" s="129" t="s">
        <v>1047</v>
      </c>
    </row>
    <row r="275" spans="1:116" x14ac:dyDescent="0.2">
      <c r="C275" t="s">
        <v>798</v>
      </c>
    </row>
    <row r="276" spans="1:116" ht="15.6" x14ac:dyDescent="0.2">
      <c r="A276" s="412">
        <f>1+A2</f>
        <v>2</v>
      </c>
      <c r="B276" s="412" t="s">
        <v>849</v>
      </c>
      <c r="C276" s="412"/>
      <c r="D276" s="413"/>
      <c r="E276" s="413"/>
      <c r="F276" s="413"/>
      <c r="G276" s="413"/>
      <c r="H276" s="413"/>
      <c r="I276" s="413"/>
      <c r="J276" s="413"/>
      <c r="K276" s="413"/>
      <c r="L276" s="413"/>
      <c r="M276" s="413"/>
      <c r="N276" s="413"/>
      <c r="O276" s="413"/>
      <c r="P276" s="413"/>
      <c r="Q276" s="413"/>
      <c r="R276" s="413"/>
      <c r="S276" s="413"/>
      <c r="T276" s="413"/>
      <c r="U276" s="413"/>
      <c r="V276" s="413"/>
      <c r="W276" s="413"/>
      <c r="X276" s="413"/>
      <c r="Y276" s="413"/>
      <c r="Z276" s="413"/>
      <c r="AA276" s="413"/>
      <c r="AB276" s="413"/>
      <c r="AC276" s="413"/>
      <c r="AD276" s="413"/>
      <c r="AE276" s="413"/>
      <c r="AF276" s="413"/>
      <c r="AG276" s="413"/>
      <c r="AH276" s="413"/>
      <c r="AI276" s="413"/>
      <c r="AJ276" s="413"/>
      <c r="AK276" s="413"/>
      <c r="AL276" s="413"/>
      <c r="AM276" s="413"/>
      <c r="AN276" s="413"/>
      <c r="AO276" s="413"/>
      <c r="AP276" s="413"/>
      <c r="AQ276" s="413"/>
      <c r="AR276" s="413"/>
      <c r="AS276" s="413"/>
      <c r="AT276" s="413"/>
      <c r="AU276" s="413"/>
      <c r="AV276" s="413"/>
      <c r="AW276" s="413"/>
      <c r="AX276" s="413"/>
      <c r="AY276" s="413"/>
      <c r="AZ276" s="413"/>
      <c r="BA276" s="413"/>
      <c r="BB276" s="413"/>
      <c r="BC276" s="413"/>
      <c r="BD276" s="413"/>
      <c r="BE276" s="413"/>
      <c r="BF276" s="413"/>
      <c r="BG276" s="413"/>
      <c r="BH276" s="413"/>
      <c r="BI276" s="413"/>
      <c r="BJ276" s="413"/>
      <c r="BK276" s="413"/>
      <c r="BL276" s="413"/>
      <c r="BM276" s="413"/>
      <c r="BN276" s="413"/>
      <c r="BO276" s="413"/>
      <c r="BP276" s="413"/>
      <c r="BQ276" s="413"/>
      <c r="BR276" s="413"/>
      <c r="BS276" s="413"/>
      <c r="BT276" s="413"/>
      <c r="BU276" s="413"/>
      <c r="BV276" s="413"/>
      <c r="BW276" s="413"/>
      <c r="BX276" s="413"/>
      <c r="BY276" s="413"/>
      <c r="BZ276" s="413"/>
      <c r="CA276" s="413"/>
      <c r="CB276" s="413"/>
      <c r="CC276" s="413"/>
      <c r="CD276" s="413"/>
      <c r="CE276" s="413"/>
      <c r="CF276" s="413"/>
      <c r="CG276" s="413"/>
      <c r="CH276" s="413"/>
      <c r="CI276" s="413"/>
      <c r="CJ276" s="413"/>
      <c r="CK276" s="413"/>
      <c r="CL276" s="413"/>
      <c r="CM276" s="413"/>
      <c r="CN276" s="413"/>
      <c r="CO276" s="413"/>
      <c r="CP276" s="413"/>
      <c r="CQ276" s="413"/>
      <c r="CR276" s="413"/>
      <c r="CS276" s="413"/>
      <c r="CT276" s="413"/>
      <c r="CU276" s="413"/>
      <c r="CV276" s="413"/>
      <c r="CW276" s="413"/>
      <c r="CX276" s="413"/>
      <c r="CY276" s="413"/>
      <c r="CZ276" s="413"/>
      <c r="DA276" s="413"/>
      <c r="DB276" s="413"/>
      <c r="DC276" s="413"/>
      <c r="DD276" s="413"/>
      <c r="DE276" s="413"/>
      <c r="DF276" s="413"/>
      <c r="DG276" s="413"/>
      <c r="DH276" s="413"/>
      <c r="DI276" s="413"/>
      <c r="DJ276" s="413"/>
      <c r="DK276" s="413"/>
      <c r="DL276" s="413"/>
    </row>
    <row r="277" spans="1:116" x14ac:dyDescent="0.2">
      <c r="C277" s="252" t="s">
        <v>799</v>
      </c>
      <c r="D277" s="252"/>
      <c r="E277" s="252"/>
    </row>
    <row r="278" spans="1:116" ht="15.6" x14ac:dyDescent="0.3">
      <c r="B278" s="425"/>
      <c r="C278" s="412"/>
      <c r="D278" s="252"/>
      <c r="E278" s="252"/>
    </row>
    <row r="279" spans="1:116" ht="14.4" x14ac:dyDescent="0.3">
      <c r="B279" s="425"/>
      <c r="C279" s="252"/>
    </row>
    <row r="280" spans="1:116" ht="14.4" x14ac:dyDescent="0.3">
      <c r="B280" s="425"/>
      <c r="C280" s="252"/>
    </row>
    <row r="281" spans="1:116" ht="15.6" x14ac:dyDescent="0.3">
      <c r="B281" s="425"/>
      <c r="C281" s="9" t="s">
        <v>850</v>
      </c>
    </row>
    <row r="282" spans="1:116" ht="14.4" x14ac:dyDescent="0.3">
      <c r="B282" s="425"/>
      <c r="D282" s="437"/>
      <c r="E282" s="437"/>
      <c r="F282" s="437"/>
      <c r="G282" s="438"/>
    </row>
    <row r="283" spans="1:116" ht="15.6" x14ac:dyDescent="0.3">
      <c r="B283" s="425"/>
      <c r="C283" s="9" t="s">
        <v>851</v>
      </c>
      <c r="D283" s="437"/>
      <c r="E283" s="437"/>
      <c r="F283" s="437"/>
      <c r="G283" s="438"/>
    </row>
    <row r="284" spans="1:116" ht="14.4" x14ac:dyDescent="0.3">
      <c r="B284" s="425"/>
      <c r="C284" s="436" t="s">
        <v>852</v>
      </c>
      <c r="D284" s="437"/>
      <c r="E284" s="437"/>
      <c r="F284" s="437"/>
      <c r="G284" s="438"/>
    </row>
    <row r="285" spans="1:116" ht="14.4" x14ac:dyDescent="0.3">
      <c r="B285" s="425"/>
      <c r="C285" s="436" t="s">
        <v>853</v>
      </c>
    </row>
    <row r="286" spans="1:116" ht="21" x14ac:dyDescent="0.3">
      <c r="B286" s="425"/>
      <c r="C286" s="436" t="s">
        <v>854</v>
      </c>
      <c r="AS286" s="439"/>
      <c r="AT286" s="439"/>
      <c r="AU286" s="439"/>
      <c r="AV286" s="439"/>
      <c r="AW286" s="439"/>
      <c r="AX286" s="439"/>
      <c r="AY286" s="439"/>
      <c r="AZ286" s="439"/>
      <c r="BA286" s="439"/>
      <c r="BB286" s="439"/>
      <c r="BC286" s="439"/>
      <c r="BD286" s="439"/>
      <c r="BE286" s="439"/>
      <c r="BF286" s="439"/>
      <c r="BG286" s="439"/>
      <c r="BH286" s="439"/>
      <c r="BI286" s="439"/>
      <c r="BJ286" s="439"/>
      <c r="BK286" s="439"/>
      <c r="BL286" s="439"/>
      <c r="BM286" s="439"/>
      <c r="BN286" s="439"/>
      <c r="BO286" s="439"/>
    </row>
    <row r="287" spans="1:116" ht="22.8" x14ac:dyDescent="0.3">
      <c r="B287" s="425"/>
      <c r="F287" s="440"/>
      <c r="G287" s="440"/>
      <c r="H287" s="440"/>
      <c r="I287" s="440"/>
      <c r="J287" s="440"/>
      <c r="K287" s="440"/>
      <c r="L287" s="440"/>
      <c r="M287" s="440"/>
      <c r="N287" s="440"/>
      <c r="O287" s="440"/>
      <c r="P287" s="440"/>
      <c r="Q287" s="440"/>
      <c r="R287" s="440"/>
      <c r="S287" s="440"/>
      <c r="T287" s="440"/>
      <c r="U287" s="440"/>
      <c r="V287" s="440"/>
      <c r="W287" s="440"/>
      <c r="X287" s="440">
        <f>+COLUMN()-2</f>
        <v>22</v>
      </c>
      <c r="Y287" s="440"/>
      <c r="Z287" s="440"/>
      <c r="AA287" s="440">
        <f t="shared" ref="AA287:AF287" si="6">+COLUMN()-2</f>
        <v>25</v>
      </c>
      <c r="AB287" s="440">
        <f t="shared" si="6"/>
        <v>26</v>
      </c>
      <c r="AC287" s="440">
        <f t="shared" si="6"/>
        <v>27</v>
      </c>
      <c r="AD287" s="440">
        <f t="shared" si="6"/>
        <v>28</v>
      </c>
      <c r="AE287" s="440">
        <f t="shared" si="6"/>
        <v>29</v>
      </c>
      <c r="AF287" s="440">
        <f t="shared" si="6"/>
        <v>30</v>
      </c>
      <c r="AG287" s="440"/>
      <c r="AH287" s="440"/>
      <c r="AI287" s="440">
        <f t="shared" ref="AI287:AV287" si="7">+COLUMN()-2</f>
        <v>33</v>
      </c>
      <c r="AJ287" s="440">
        <f t="shared" si="7"/>
        <v>34</v>
      </c>
      <c r="AK287" s="440">
        <f t="shared" si="7"/>
        <v>35</v>
      </c>
      <c r="AL287" s="440">
        <f t="shared" si="7"/>
        <v>36</v>
      </c>
      <c r="AM287" s="440">
        <f t="shared" si="7"/>
        <v>37</v>
      </c>
      <c r="AN287" s="440">
        <f t="shared" si="7"/>
        <v>38</v>
      </c>
      <c r="AO287" s="440">
        <f t="shared" si="7"/>
        <v>39</v>
      </c>
      <c r="AP287" s="440">
        <f t="shared" si="7"/>
        <v>40</v>
      </c>
      <c r="AQ287" s="440">
        <f t="shared" si="7"/>
        <v>41</v>
      </c>
      <c r="AR287" s="440">
        <f t="shared" si="7"/>
        <v>42</v>
      </c>
      <c r="AS287" s="440">
        <f t="shared" si="7"/>
        <v>43</v>
      </c>
      <c r="AT287" s="440">
        <f t="shared" si="7"/>
        <v>44</v>
      </c>
      <c r="AU287" s="440">
        <f t="shared" si="7"/>
        <v>45</v>
      </c>
      <c r="AV287" s="440">
        <f t="shared" si="7"/>
        <v>46</v>
      </c>
      <c r="AW287" s="441"/>
      <c r="AX287" s="441"/>
      <c r="AY287" s="441"/>
      <c r="AZ287" s="441"/>
      <c r="BA287" s="441"/>
      <c r="BB287" s="441"/>
      <c r="BC287" s="441"/>
      <c r="BD287" s="440">
        <f>+COLUMN()-2</f>
        <v>54</v>
      </c>
      <c r="BE287" s="441"/>
      <c r="BF287" s="441"/>
      <c r="BG287" s="441"/>
      <c r="BH287" s="441"/>
      <c r="BI287" s="441"/>
      <c r="BJ287" s="441"/>
      <c r="BK287" s="441"/>
      <c r="BL287" s="441"/>
      <c r="BM287" s="441"/>
      <c r="BN287" s="441"/>
      <c r="BO287" s="441"/>
      <c r="BP287" s="441"/>
    </row>
    <row r="288" spans="1:116" ht="21.6" thickBot="1" x14ac:dyDescent="0.35">
      <c r="B288" s="425"/>
      <c r="C288" s="101" t="s">
        <v>855</v>
      </c>
      <c r="F288" s="442" t="s">
        <v>856</v>
      </c>
      <c r="G288" s="443"/>
      <c r="H288" s="443"/>
      <c r="I288" s="443"/>
      <c r="J288" s="443"/>
      <c r="K288" s="443"/>
      <c r="L288" s="443"/>
      <c r="M288" s="443"/>
      <c r="N288" s="443"/>
      <c r="O288" s="443"/>
      <c r="P288" s="443"/>
      <c r="Q288" s="443"/>
      <c r="R288" s="443"/>
      <c r="S288" s="443"/>
      <c r="T288" s="443"/>
      <c r="U288" s="443"/>
      <c r="V288" s="443"/>
      <c r="W288" s="443"/>
      <c r="X288" s="443"/>
      <c r="Y288" s="443"/>
      <c r="Z288" s="443"/>
      <c r="AA288" s="443"/>
      <c r="AB288" s="443"/>
      <c r="AC288" s="443"/>
      <c r="AD288" s="443"/>
      <c r="AE288" s="443"/>
      <c r="AF288" s="443"/>
      <c r="AG288" s="443"/>
      <c r="AH288" s="443"/>
      <c r="AI288" s="443"/>
      <c r="AJ288" s="443"/>
      <c r="AK288" s="443"/>
      <c r="AL288" s="443"/>
      <c r="AM288" s="443"/>
      <c r="AN288" s="443"/>
      <c r="AO288" s="443"/>
      <c r="AP288" s="443"/>
      <c r="AQ288" s="443"/>
      <c r="AR288" s="443"/>
      <c r="AS288" s="443"/>
      <c r="AT288" s="443"/>
      <c r="AU288" s="443"/>
      <c r="AV288" s="443"/>
      <c r="AW288" s="443"/>
      <c r="AX288" s="443"/>
      <c r="AY288" s="443"/>
      <c r="AZ288" s="443"/>
      <c r="BA288" s="534"/>
      <c r="BB288" s="534"/>
      <c r="BC288" s="534"/>
      <c r="BD288" s="534"/>
      <c r="BE288" s="534"/>
      <c r="BF288" s="534"/>
      <c r="BG288" s="534"/>
      <c r="BH288" s="534"/>
      <c r="BI288" s="534"/>
      <c r="BJ288" s="534"/>
      <c r="BK288" s="534"/>
      <c r="BL288" s="534"/>
      <c r="BM288" s="534"/>
      <c r="BN288" s="487"/>
      <c r="BO288" s="487"/>
      <c r="BP288" s="487"/>
      <c r="BQ288" s="487"/>
      <c r="BR288" s="487"/>
    </row>
    <row r="289" spans="2:70" ht="30.45" customHeight="1" thickBot="1" x14ac:dyDescent="0.35">
      <c r="B289" s="425"/>
      <c r="C289" s="415">
        <v>2024</v>
      </c>
      <c r="F289" s="444" t="s">
        <v>857</v>
      </c>
      <c r="G289" s="445"/>
      <c r="H289" s="536" t="s">
        <v>858</v>
      </c>
      <c r="I289" s="543"/>
      <c r="J289" s="536" t="s">
        <v>605</v>
      </c>
      <c r="K289" s="537"/>
      <c r="L289" s="543"/>
      <c r="M289" s="544" t="s">
        <v>859</v>
      </c>
      <c r="N289" s="545"/>
      <c r="O289" s="544" t="s">
        <v>860</v>
      </c>
      <c r="P289" s="545"/>
      <c r="Q289" s="545"/>
      <c r="R289" s="545"/>
      <c r="S289" s="545"/>
      <c r="T289" s="545"/>
      <c r="U289" s="536" t="s">
        <v>861</v>
      </c>
      <c r="V289" s="537"/>
      <c r="W289" s="543"/>
      <c r="X289" s="536" t="s">
        <v>862</v>
      </c>
      <c r="Y289" s="537"/>
      <c r="Z289" s="537"/>
      <c r="AA289" s="537"/>
      <c r="AB289" s="537"/>
      <c r="AC289" s="537"/>
      <c r="AD289" s="537"/>
      <c r="AE289" s="537"/>
      <c r="AF289" s="537"/>
      <c r="AG289" s="446" t="s">
        <v>863</v>
      </c>
      <c r="AH289" s="447"/>
      <c r="AI289" s="447"/>
      <c r="AJ289" s="447"/>
      <c r="AK289" s="447"/>
      <c r="AL289" s="447"/>
      <c r="AM289" s="447"/>
      <c r="AN289" s="447"/>
      <c r="AO289" s="447"/>
      <c r="AP289" s="447"/>
      <c r="AQ289" s="447"/>
      <c r="AR289" s="447"/>
      <c r="AS289" s="447"/>
      <c r="AT289" s="447"/>
      <c r="AU289" s="447"/>
      <c r="AV289" s="488"/>
      <c r="AW289" s="546" t="s">
        <v>864</v>
      </c>
      <c r="AX289" s="546"/>
      <c r="AY289" s="546"/>
      <c r="AZ289" s="547"/>
      <c r="BA289" s="548" t="s">
        <v>865</v>
      </c>
      <c r="BB289" s="548"/>
      <c r="BC289" s="549"/>
      <c r="BD289" s="550" t="s">
        <v>866</v>
      </c>
      <c r="BE289" s="551"/>
      <c r="BF289" s="551"/>
      <c r="BG289" s="551"/>
      <c r="BH289" s="551"/>
      <c r="BI289" s="551"/>
      <c r="BJ289" s="551"/>
      <c r="BK289" s="552"/>
      <c r="BL289" s="553" t="s">
        <v>1048</v>
      </c>
      <c r="BM289" s="554"/>
      <c r="BN289" s="554"/>
      <c r="BO289" s="554"/>
      <c r="BP289" s="554"/>
      <c r="BQ289" s="554"/>
      <c r="BR289" s="554"/>
    </row>
    <row r="290" spans="2:70" s="19" customFormat="1" ht="60" x14ac:dyDescent="0.3">
      <c r="B290" s="425"/>
      <c r="C290" s="449" t="s">
        <v>456</v>
      </c>
      <c r="D290" s="449" t="s">
        <v>457</v>
      </c>
      <c r="E290" s="449" t="s">
        <v>458</v>
      </c>
      <c r="F290" s="450" t="s">
        <v>380</v>
      </c>
      <c r="G290" s="450" t="s">
        <v>761</v>
      </c>
      <c r="H290" s="450" t="s">
        <v>867</v>
      </c>
      <c r="I290" s="450" t="s">
        <v>381</v>
      </c>
      <c r="J290" s="450" t="s">
        <v>868</v>
      </c>
      <c r="K290" s="451" t="s">
        <v>869</v>
      </c>
      <c r="L290" s="451" t="s">
        <v>870</v>
      </c>
      <c r="M290" s="452" t="s">
        <v>871</v>
      </c>
      <c r="N290" s="451" t="s">
        <v>872</v>
      </c>
      <c r="O290" s="449" t="s">
        <v>385</v>
      </c>
      <c r="P290" s="450" t="s">
        <v>391</v>
      </c>
      <c r="Q290" s="449" t="s">
        <v>873</v>
      </c>
      <c r="R290" s="450" t="s">
        <v>874</v>
      </c>
      <c r="S290" s="449" t="s">
        <v>875</v>
      </c>
      <c r="T290" s="450" t="s">
        <v>876</v>
      </c>
      <c r="U290" s="450" t="s">
        <v>877</v>
      </c>
      <c r="V290" s="450" t="s">
        <v>878</v>
      </c>
      <c r="W290" s="450" t="s">
        <v>879</v>
      </c>
      <c r="X290" s="450" t="s">
        <v>880</v>
      </c>
      <c r="Y290" s="450" t="s">
        <v>878</v>
      </c>
      <c r="Z290" s="450" t="s">
        <v>881</v>
      </c>
      <c r="AA290" s="450" t="s">
        <v>882</v>
      </c>
      <c r="AB290" s="450" t="s">
        <v>878</v>
      </c>
      <c r="AC290" s="450" t="s">
        <v>595</v>
      </c>
      <c r="AD290" s="450" t="s">
        <v>883</v>
      </c>
      <c r="AE290" s="450" t="s">
        <v>878</v>
      </c>
      <c r="AF290" s="450" t="s">
        <v>884</v>
      </c>
      <c r="AG290" s="450" t="s">
        <v>885</v>
      </c>
      <c r="AH290" s="450" t="s">
        <v>886</v>
      </c>
      <c r="AI290" s="450" t="s">
        <v>887</v>
      </c>
      <c r="AJ290" s="450" t="s">
        <v>888</v>
      </c>
      <c r="AK290" s="450" t="s">
        <v>1012</v>
      </c>
      <c r="AL290" s="450" t="s">
        <v>889</v>
      </c>
      <c r="AM290" s="450" t="s">
        <v>890</v>
      </c>
      <c r="AN290" s="449" t="s">
        <v>891</v>
      </c>
      <c r="AO290" s="449" t="s">
        <v>892</v>
      </c>
      <c r="AP290" s="449" t="s">
        <v>893</v>
      </c>
      <c r="AQ290" s="449" t="s">
        <v>894</v>
      </c>
      <c r="AR290" s="449" t="s">
        <v>895</v>
      </c>
      <c r="AS290" s="449" t="s">
        <v>896</v>
      </c>
      <c r="AT290" s="449" t="s">
        <v>897</v>
      </c>
      <c r="AU290" s="450" t="s">
        <v>898</v>
      </c>
      <c r="AV290" s="450" t="s">
        <v>1013</v>
      </c>
      <c r="AW290" s="450" t="s">
        <v>899</v>
      </c>
      <c r="AX290" s="450" t="s">
        <v>900</v>
      </c>
      <c r="AY290" s="450" t="s">
        <v>901</v>
      </c>
      <c r="AZ290" s="453" t="s">
        <v>902</v>
      </c>
      <c r="BA290" s="454" t="s">
        <v>903</v>
      </c>
      <c r="BB290" s="449" t="s">
        <v>904</v>
      </c>
      <c r="BC290" s="454" t="s">
        <v>905</v>
      </c>
      <c r="BD290" s="454" t="s">
        <v>766</v>
      </c>
      <c r="BE290" s="455" t="s">
        <v>906</v>
      </c>
      <c r="BF290" s="455" t="s">
        <v>907</v>
      </c>
      <c r="BG290" s="455" t="s">
        <v>1014</v>
      </c>
      <c r="BH290" s="455" t="s">
        <v>908</v>
      </c>
      <c r="BI290" s="456" t="s">
        <v>909</v>
      </c>
      <c r="BJ290" s="422" t="s">
        <v>910</v>
      </c>
      <c r="BK290" s="455" t="s">
        <v>911</v>
      </c>
      <c r="BL290" s="455" t="s">
        <v>912</v>
      </c>
      <c r="BM290" s="456" t="s">
        <v>913</v>
      </c>
      <c r="BN290" s="456" t="s">
        <v>914</v>
      </c>
      <c r="BO290" s="455" t="s">
        <v>915</v>
      </c>
      <c r="BP290" s="456" t="s">
        <v>916</v>
      </c>
      <c r="BQ290" s="456" t="s">
        <v>917</v>
      </c>
      <c r="BR290" s="456" t="s">
        <v>918</v>
      </c>
    </row>
    <row r="291" spans="2:70" ht="14.4" x14ac:dyDescent="0.3">
      <c r="B291" s="425">
        <f t="shared" ref="B291:B354" si="8">1+B290</f>
        <v>1</v>
      </c>
      <c r="C291" s="95" t="s">
        <v>166</v>
      </c>
      <c r="D291" s="429" t="s">
        <v>350</v>
      </c>
      <c r="E291" s="429" t="s">
        <v>794</v>
      </c>
      <c r="F291" s="91">
        <v>210.24</v>
      </c>
      <c r="G291" s="486">
        <v>249</v>
      </c>
      <c r="H291" s="91">
        <v>1</v>
      </c>
      <c r="I291" s="91">
        <v>100</v>
      </c>
      <c r="J291" s="91"/>
      <c r="K291" s="91"/>
      <c r="L291" s="91"/>
      <c r="M291" s="91"/>
      <c r="N291" s="91"/>
      <c r="O291" s="91" t="s">
        <v>940</v>
      </c>
      <c r="P291" s="91" t="s">
        <v>939</v>
      </c>
      <c r="Q291" s="457" t="s">
        <v>793</v>
      </c>
      <c r="R291" s="91">
        <v>6</v>
      </c>
      <c r="S291" s="91">
        <v>50</v>
      </c>
      <c r="T291" s="91">
        <f>+S291</f>
        <v>50</v>
      </c>
      <c r="U291" s="91" t="s">
        <v>792</v>
      </c>
      <c r="V291" s="91"/>
      <c r="W291" s="91"/>
      <c r="X291" s="91" t="s">
        <v>792</v>
      </c>
      <c r="Y291" s="91"/>
      <c r="Z291" s="91"/>
      <c r="AA291" s="91" t="s">
        <v>792</v>
      </c>
      <c r="AB291" s="91"/>
      <c r="AC291" s="91"/>
      <c r="AD291" s="91" t="s">
        <v>792</v>
      </c>
      <c r="AE291" s="91"/>
      <c r="AF291" s="91"/>
      <c r="AG291" s="91" t="s">
        <v>922</v>
      </c>
      <c r="AH291" s="91"/>
      <c r="AI291" s="91"/>
      <c r="AJ291" s="91"/>
      <c r="AK291" s="91"/>
      <c r="AL291" s="91"/>
      <c r="AM291" s="91"/>
      <c r="AN291" s="91"/>
      <c r="AO291" s="91"/>
      <c r="AP291" s="91"/>
      <c r="AQ291" s="91"/>
      <c r="AR291" s="91"/>
      <c r="AS291" s="91"/>
      <c r="AT291" s="91"/>
      <c r="AU291" s="91"/>
      <c r="AV291" s="91"/>
      <c r="AW291" s="91">
        <v>1.48</v>
      </c>
      <c r="AX291" s="91"/>
      <c r="AY291" s="91"/>
      <c r="AZ291" s="91"/>
      <c r="BA291" s="91" t="s">
        <v>792</v>
      </c>
      <c r="BB291" s="426"/>
      <c r="BC291" s="426" t="s">
        <v>927</v>
      </c>
      <c r="BD291" s="91" t="s">
        <v>792</v>
      </c>
      <c r="BE291" s="91" t="s">
        <v>927</v>
      </c>
      <c r="BF291" s="426">
        <v>0</v>
      </c>
      <c r="BG291" s="426">
        <v>0</v>
      </c>
      <c r="BH291" s="426">
        <v>0</v>
      </c>
      <c r="BI291" s="426">
        <v>0</v>
      </c>
      <c r="BJ291" s="426">
        <v>0</v>
      </c>
      <c r="BK291" s="426" t="s">
        <v>792</v>
      </c>
      <c r="BL291" s="91" t="s">
        <v>792</v>
      </c>
      <c r="BM291" s="426"/>
      <c r="BN291" s="426"/>
      <c r="BO291" s="91" t="s">
        <v>792</v>
      </c>
      <c r="BP291" s="426"/>
      <c r="BQ291" s="426"/>
      <c r="BR291" s="426"/>
    </row>
    <row r="292" spans="2:70" ht="14.4" x14ac:dyDescent="0.3">
      <c r="B292" s="425">
        <f t="shared" si="8"/>
        <v>2</v>
      </c>
      <c r="C292" s="95" t="s">
        <v>169</v>
      </c>
      <c r="D292" s="429" t="s">
        <v>350</v>
      </c>
      <c r="E292" s="429" t="s">
        <v>794</v>
      </c>
      <c r="F292" s="91">
        <v>244.01</v>
      </c>
      <c r="G292" s="486">
        <v>289</v>
      </c>
      <c r="H292" s="91">
        <v>1</v>
      </c>
      <c r="I292" s="91">
        <v>200</v>
      </c>
      <c r="J292" s="91"/>
      <c r="K292" s="91"/>
      <c r="L292" s="91"/>
      <c r="M292" s="91"/>
      <c r="N292" s="91"/>
      <c r="O292" s="91" t="s">
        <v>940</v>
      </c>
      <c r="P292" s="91" t="s">
        <v>939</v>
      </c>
      <c r="Q292" s="457" t="s">
        <v>793</v>
      </c>
      <c r="R292" s="91">
        <v>6</v>
      </c>
      <c r="S292" s="91">
        <v>50</v>
      </c>
      <c r="T292" s="91">
        <f>+S292</f>
        <v>50</v>
      </c>
      <c r="U292" s="91" t="s">
        <v>792</v>
      </c>
      <c r="V292" s="91"/>
      <c r="W292" s="91"/>
      <c r="X292" s="91" t="s">
        <v>792</v>
      </c>
      <c r="Y292" s="91"/>
      <c r="Z292" s="91"/>
      <c r="AA292" s="91" t="s">
        <v>792</v>
      </c>
      <c r="AB292" s="91"/>
      <c r="AC292" s="91"/>
      <c r="AD292" s="91" t="s">
        <v>792</v>
      </c>
      <c r="AE292" s="91"/>
      <c r="AF292" s="91"/>
      <c r="AG292" s="91" t="s">
        <v>922</v>
      </c>
      <c r="AH292" s="91"/>
      <c r="AI292" s="91"/>
      <c r="AJ292" s="91"/>
      <c r="AK292" s="91"/>
      <c r="AL292" s="91"/>
      <c r="AM292" s="91"/>
      <c r="AN292" s="91"/>
      <c r="AO292" s="91"/>
      <c r="AP292" s="91"/>
      <c r="AQ292" s="91"/>
      <c r="AR292" s="91"/>
      <c r="AS292" s="91"/>
      <c r="AT292" s="91"/>
      <c r="AU292" s="91"/>
      <c r="AV292" s="91"/>
      <c r="AW292" s="91">
        <v>1.48</v>
      </c>
      <c r="AX292" s="91"/>
      <c r="AY292" s="91"/>
      <c r="AZ292" s="91"/>
      <c r="BA292" s="91" t="s">
        <v>792</v>
      </c>
      <c r="BB292" s="426"/>
      <c r="BC292" s="426" t="s">
        <v>927</v>
      </c>
      <c r="BD292" s="91" t="s">
        <v>792</v>
      </c>
      <c r="BE292" s="91" t="s">
        <v>927</v>
      </c>
      <c r="BF292" s="426">
        <v>0</v>
      </c>
      <c r="BG292" s="426">
        <v>0</v>
      </c>
      <c r="BH292" s="426">
        <v>0</v>
      </c>
      <c r="BI292" s="426">
        <v>0</v>
      </c>
      <c r="BJ292" s="426">
        <v>0</v>
      </c>
      <c r="BK292" s="426" t="s">
        <v>792</v>
      </c>
      <c r="BL292" s="91" t="s">
        <v>792</v>
      </c>
      <c r="BM292" s="426"/>
      <c r="BN292" s="426"/>
      <c r="BO292" s="91" t="s">
        <v>792</v>
      </c>
      <c r="BP292" s="426"/>
      <c r="BQ292" s="426"/>
      <c r="BR292" s="426"/>
    </row>
    <row r="293" spans="2:70" ht="14.4" x14ac:dyDescent="0.3">
      <c r="B293" s="425">
        <f t="shared" si="8"/>
        <v>3</v>
      </c>
      <c r="C293" s="95" t="s">
        <v>173</v>
      </c>
      <c r="D293" s="429" t="s">
        <v>350</v>
      </c>
      <c r="E293" s="429" t="s">
        <v>794</v>
      </c>
      <c r="F293" s="91">
        <v>281.16000000000003</v>
      </c>
      <c r="G293" s="486">
        <v>333</v>
      </c>
      <c r="H293" s="91">
        <v>1</v>
      </c>
      <c r="I293" s="91" t="s">
        <v>941</v>
      </c>
      <c r="J293" s="91"/>
      <c r="K293" s="91"/>
      <c r="L293" s="91"/>
      <c r="M293" s="91"/>
      <c r="N293" s="91"/>
      <c r="O293" s="91" t="s">
        <v>940</v>
      </c>
      <c r="P293" s="91" t="s">
        <v>939</v>
      </c>
      <c r="Q293" s="457" t="s">
        <v>793</v>
      </c>
      <c r="R293" s="91">
        <v>6</v>
      </c>
      <c r="S293" s="91">
        <v>50</v>
      </c>
      <c r="T293" s="91">
        <f>+S293</f>
        <v>50</v>
      </c>
      <c r="U293" s="91" t="s">
        <v>792</v>
      </c>
      <c r="V293" s="91"/>
      <c r="W293" s="91"/>
      <c r="X293" s="91" t="s">
        <v>792</v>
      </c>
      <c r="Y293" s="91"/>
      <c r="Z293" s="91"/>
      <c r="AA293" s="91" t="s">
        <v>792</v>
      </c>
      <c r="AB293" s="91"/>
      <c r="AC293" s="91"/>
      <c r="AD293" s="91" t="s">
        <v>792</v>
      </c>
      <c r="AE293" s="91"/>
      <c r="AF293" s="91"/>
      <c r="AG293" s="91" t="s">
        <v>922</v>
      </c>
      <c r="AH293" s="91"/>
      <c r="AI293" s="91" t="s">
        <v>1015</v>
      </c>
      <c r="AJ293" s="91" t="s">
        <v>923</v>
      </c>
      <c r="AK293" s="91"/>
      <c r="AL293" s="91" t="s">
        <v>924</v>
      </c>
      <c r="AM293" s="91" t="s">
        <v>925</v>
      </c>
      <c r="AN293" s="91"/>
      <c r="AO293" s="91"/>
      <c r="AP293" s="91"/>
      <c r="AQ293" s="91"/>
      <c r="AR293" s="91"/>
      <c r="AS293" s="91"/>
      <c r="AT293" s="91"/>
      <c r="AU293" s="91" t="s">
        <v>926</v>
      </c>
      <c r="AV293" s="91"/>
      <c r="AW293" s="91"/>
      <c r="AX293" s="91"/>
      <c r="AY293" s="91"/>
      <c r="AZ293" s="91"/>
      <c r="BA293" s="91" t="s">
        <v>792</v>
      </c>
      <c r="BB293" s="426"/>
      <c r="BC293" s="426"/>
      <c r="BD293" s="91" t="s">
        <v>792</v>
      </c>
      <c r="BE293" s="91" t="s">
        <v>927</v>
      </c>
      <c r="BF293" s="426">
        <v>0</v>
      </c>
      <c r="BG293" s="426">
        <v>0</v>
      </c>
      <c r="BH293" s="426">
        <v>0</v>
      </c>
      <c r="BI293" s="426">
        <v>0</v>
      </c>
      <c r="BJ293" s="426">
        <v>0</v>
      </c>
      <c r="BK293" s="426" t="s">
        <v>792</v>
      </c>
      <c r="BL293" s="91" t="s">
        <v>792</v>
      </c>
      <c r="BM293" s="426"/>
      <c r="BN293" s="426"/>
      <c r="BO293" s="91" t="s">
        <v>792</v>
      </c>
      <c r="BP293" s="426"/>
      <c r="BQ293" s="426"/>
      <c r="BR293" s="426"/>
    </row>
    <row r="294" spans="2:70" ht="14.4" x14ac:dyDescent="0.3">
      <c r="B294" s="425">
        <f t="shared" si="8"/>
        <v>4</v>
      </c>
      <c r="C294" s="95" t="s">
        <v>176</v>
      </c>
      <c r="D294" s="429" t="s">
        <v>350</v>
      </c>
      <c r="E294" s="429" t="s">
        <v>794</v>
      </c>
      <c r="F294" s="91">
        <v>328.44</v>
      </c>
      <c r="G294" s="486">
        <v>389</v>
      </c>
      <c r="H294" s="91">
        <v>1</v>
      </c>
      <c r="I294" s="91" t="s">
        <v>941</v>
      </c>
      <c r="J294" s="91" t="s">
        <v>942</v>
      </c>
      <c r="K294" s="91" t="s">
        <v>942</v>
      </c>
      <c r="L294" s="91" t="s">
        <v>942</v>
      </c>
      <c r="M294" s="91">
        <v>5</v>
      </c>
      <c r="N294" s="91" t="s">
        <v>943</v>
      </c>
      <c r="O294" s="91" t="s">
        <v>929</v>
      </c>
      <c r="P294" s="91" t="s">
        <v>931</v>
      </c>
      <c r="Q294" s="457" t="s">
        <v>793</v>
      </c>
      <c r="R294" s="91">
        <v>6</v>
      </c>
      <c r="S294" s="91">
        <v>150</v>
      </c>
      <c r="T294" s="91">
        <f>+S294</f>
        <v>150</v>
      </c>
      <c r="U294" s="91" t="s">
        <v>792</v>
      </c>
      <c r="V294" s="91"/>
      <c r="W294" s="91"/>
      <c r="X294" s="91" t="s">
        <v>792</v>
      </c>
      <c r="Y294" s="91"/>
      <c r="Z294" s="91"/>
      <c r="AA294" s="91" t="s">
        <v>795</v>
      </c>
      <c r="AB294" s="91" t="s">
        <v>1049</v>
      </c>
      <c r="AC294" s="91" t="s">
        <v>921</v>
      </c>
      <c r="AD294" s="91" t="s">
        <v>792</v>
      </c>
      <c r="AE294" s="91"/>
      <c r="AF294" s="91"/>
      <c r="AG294" s="91" t="s">
        <v>922</v>
      </c>
      <c r="AH294" s="91"/>
      <c r="AI294" s="91" t="s">
        <v>1015</v>
      </c>
      <c r="AJ294" s="91" t="s">
        <v>923</v>
      </c>
      <c r="AK294" s="91"/>
      <c r="AL294" s="91" t="s">
        <v>924</v>
      </c>
      <c r="AM294" s="91" t="s">
        <v>925</v>
      </c>
      <c r="AN294" s="91"/>
      <c r="AO294" s="91"/>
      <c r="AP294" s="91"/>
      <c r="AQ294" s="91"/>
      <c r="AR294" s="91"/>
      <c r="AS294" s="91"/>
      <c r="AT294" s="91"/>
      <c r="AU294" s="91" t="s">
        <v>926</v>
      </c>
      <c r="AV294" s="91"/>
      <c r="AW294" s="91"/>
      <c r="AX294" s="91"/>
      <c r="AY294" s="91"/>
      <c r="AZ294" s="91"/>
      <c r="BA294" s="91" t="s">
        <v>792</v>
      </c>
      <c r="BB294" s="426"/>
      <c r="BC294" s="426"/>
      <c r="BD294" s="91" t="s">
        <v>792</v>
      </c>
      <c r="BE294" s="91" t="s">
        <v>927</v>
      </c>
      <c r="BF294" s="426">
        <v>0</v>
      </c>
      <c r="BG294" s="426">
        <v>0</v>
      </c>
      <c r="BH294" s="426">
        <v>0</v>
      </c>
      <c r="BI294" s="426">
        <v>0</v>
      </c>
      <c r="BJ294" s="426">
        <v>0</v>
      </c>
      <c r="BK294" s="426" t="s">
        <v>792</v>
      </c>
      <c r="BL294" s="91" t="s">
        <v>792</v>
      </c>
      <c r="BM294" s="426"/>
      <c r="BN294" s="426"/>
      <c r="BO294" s="91" t="s">
        <v>792</v>
      </c>
      <c r="BP294" s="426"/>
      <c r="BQ294" s="426"/>
      <c r="BR294" s="426"/>
    </row>
    <row r="295" spans="2:70" ht="14.4" collapsed="1" x14ac:dyDescent="0.3">
      <c r="B295" s="425">
        <f t="shared" si="8"/>
        <v>5</v>
      </c>
      <c r="C295" s="95" t="s">
        <v>179</v>
      </c>
      <c r="D295" s="429" t="s">
        <v>350</v>
      </c>
      <c r="E295" s="429" t="s">
        <v>794</v>
      </c>
      <c r="F295" s="91">
        <v>367.29</v>
      </c>
      <c r="G295" s="486">
        <v>435</v>
      </c>
      <c r="H295" s="91">
        <v>1</v>
      </c>
      <c r="I295" s="91" t="s">
        <v>941</v>
      </c>
      <c r="J295" s="91" t="s">
        <v>942</v>
      </c>
      <c r="K295" s="91" t="s">
        <v>942</v>
      </c>
      <c r="L295" s="91" t="s">
        <v>942</v>
      </c>
      <c r="M295" s="91">
        <v>5</v>
      </c>
      <c r="N295" s="91" t="s">
        <v>943</v>
      </c>
      <c r="O295" s="91" t="s">
        <v>959</v>
      </c>
      <c r="P295" s="91" t="s">
        <v>933</v>
      </c>
      <c r="Q295" s="457" t="s">
        <v>793</v>
      </c>
      <c r="R295" s="91">
        <v>6</v>
      </c>
      <c r="S295" s="91">
        <v>150</v>
      </c>
      <c r="T295" s="91">
        <f>+S295</f>
        <v>150</v>
      </c>
      <c r="U295" s="91" t="s">
        <v>792</v>
      </c>
      <c r="V295" s="91"/>
      <c r="W295" s="91"/>
      <c r="X295" s="91" t="s">
        <v>792</v>
      </c>
      <c r="Y295" s="91"/>
      <c r="Z295" s="91"/>
      <c r="AA295" s="91" t="s">
        <v>795</v>
      </c>
      <c r="AB295" s="91" t="s">
        <v>1049</v>
      </c>
      <c r="AC295" s="91" t="s">
        <v>921</v>
      </c>
      <c r="AD295" s="91" t="s">
        <v>792</v>
      </c>
      <c r="AE295" s="91"/>
      <c r="AF295" s="91"/>
      <c r="AG295" s="91" t="s">
        <v>922</v>
      </c>
      <c r="AH295" s="91"/>
      <c r="AI295" s="91" t="s">
        <v>1015</v>
      </c>
      <c r="AJ295" s="91" t="s">
        <v>923</v>
      </c>
      <c r="AK295" s="91"/>
      <c r="AL295" s="91" t="s">
        <v>924</v>
      </c>
      <c r="AM295" s="91" t="s">
        <v>925</v>
      </c>
      <c r="AN295" s="91"/>
      <c r="AO295" s="91"/>
      <c r="AP295" s="91"/>
      <c r="AQ295" s="91"/>
      <c r="AR295" s="91"/>
      <c r="AS295" s="91"/>
      <c r="AT295" s="91"/>
      <c r="AU295" s="91" t="s">
        <v>926</v>
      </c>
      <c r="AV295" s="91"/>
      <c r="AW295" s="91"/>
      <c r="AX295" s="91"/>
      <c r="AY295" s="91"/>
      <c r="AZ295" s="91"/>
      <c r="BA295" s="91" t="s">
        <v>792</v>
      </c>
      <c r="BB295" s="426"/>
      <c r="BC295" s="426"/>
      <c r="BD295" s="91" t="s">
        <v>792</v>
      </c>
      <c r="BE295" s="91" t="s">
        <v>927</v>
      </c>
      <c r="BF295" s="426">
        <v>0</v>
      </c>
      <c r="BG295" s="426">
        <v>0</v>
      </c>
      <c r="BH295" s="426">
        <v>0</v>
      </c>
      <c r="BI295" s="426">
        <v>0</v>
      </c>
      <c r="BJ295" s="426">
        <v>0</v>
      </c>
      <c r="BK295" s="426" t="s">
        <v>792</v>
      </c>
      <c r="BL295" s="91" t="s">
        <v>792</v>
      </c>
      <c r="BM295" s="426"/>
      <c r="BN295" s="426"/>
      <c r="BO295" s="91" t="s">
        <v>792</v>
      </c>
      <c r="BP295" s="426"/>
      <c r="BQ295" s="426"/>
      <c r="BR295" s="426"/>
    </row>
    <row r="296" spans="2:70" ht="14.4" x14ac:dyDescent="0.3">
      <c r="B296" s="425">
        <f t="shared" si="8"/>
        <v>6</v>
      </c>
      <c r="C296" s="95" t="s">
        <v>181</v>
      </c>
      <c r="D296" s="429" t="s">
        <v>350</v>
      </c>
      <c r="E296" s="429" t="s">
        <v>794</v>
      </c>
      <c r="F296" s="91">
        <v>421.32</v>
      </c>
      <c r="G296" s="486">
        <v>499</v>
      </c>
      <c r="H296" s="91">
        <v>1</v>
      </c>
      <c r="I296" s="91" t="s">
        <v>941</v>
      </c>
      <c r="J296" s="91" t="s">
        <v>942</v>
      </c>
      <c r="K296" s="91" t="s">
        <v>942</v>
      </c>
      <c r="L296" s="91" t="s">
        <v>942</v>
      </c>
      <c r="M296" s="91">
        <v>5</v>
      </c>
      <c r="N296" s="91" t="s">
        <v>943</v>
      </c>
      <c r="O296" s="91" t="s">
        <v>930</v>
      </c>
      <c r="P296" s="91" t="s">
        <v>931</v>
      </c>
      <c r="Q296" s="457" t="s">
        <v>792</v>
      </c>
      <c r="R296" s="91"/>
      <c r="S296" s="91"/>
      <c r="T296" s="91"/>
      <c r="U296" s="91" t="s">
        <v>792</v>
      </c>
      <c r="V296" s="91"/>
      <c r="W296" s="91"/>
      <c r="X296" s="91" t="s">
        <v>792</v>
      </c>
      <c r="Y296" s="91"/>
      <c r="Z296" s="91"/>
      <c r="AA296" s="91" t="s">
        <v>795</v>
      </c>
      <c r="AB296" s="91" t="s">
        <v>1049</v>
      </c>
      <c r="AC296" s="91" t="s">
        <v>921</v>
      </c>
      <c r="AD296" s="91" t="s">
        <v>792</v>
      </c>
      <c r="AE296" s="91"/>
      <c r="AF296" s="91"/>
      <c r="AG296" s="91" t="s">
        <v>922</v>
      </c>
      <c r="AH296" s="91"/>
      <c r="AI296" s="91" t="s">
        <v>1015</v>
      </c>
      <c r="AJ296" s="91" t="s">
        <v>923</v>
      </c>
      <c r="AK296" s="91"/>
      <c r="AL296" s="91" t="s">
        <v>924</v>
      </c>
      <c r="AM296" s="91" t="s">
        <v>925</v>
      </c>
      <c r="AN296" s="91"/>
      <c r="AO296" s="91"/>
      <c r="AP296" s="91"/>
      <c r="AQ296" s="91"/>
      <c r="AR296" s="91"/>
      <c r="AS296" s="91"/>
      <c r="AT296" s="91"/>
      <c r="AU296" s="91" t="s">
        <v>926</v>
      </c>
      <c r="AV296" s="91"/>
      <c r="AW296" s="91"/>
      <c r="AX296" s="91"/>
      <c r="AY296" s="91"/>
      <c r="AZ296" s="91"/>
      <c r="BA296" s="91" t="s">
        <v>792</v>
      </c>
      <c r="BB296" s="426"/>
      <c r="BC296" s="426"/>
      <c r="BD296" s="91" t="s">
        <v>792</v>
      </c>
      <c r="BE296" s="91" t="s">
        <v>927</v>
      </c>
      <c r="BF296" s="426">
        <v>0</v>
      </c>
      <c r="BG296" s="426">
        <v>0</v>
      </c>
      <c r="BH296" s="426">
        <v>0</v>
      </c>
      <c r="BI296" s="426">
        <v>0</v>
      </c>
      <c r="BJ296" s="426">
        <v>0</v>
      </c>
      <c r="BK296" s="426" t="s">
        <v>792</v>
      </c>
      <c r="BL296" s="91" t="s">
        <v>792</v>
      </c>
      <c r="BM296" s="426"/>
      <c r="BN296" s="426"/>
      <c r="BO296" s="91" t="s">
        <v>792</v>
      </c>
      <c r="BP296" s="426"/>
      <c r="BQ296" s="426"/>
      <c r="BR296" s="426"/>
    </row>
    <row r="297" spans="2:70" ht="14.4" x14ac:dyDescent="0.3">
      <c r="B297" s="425">
        <f t="shared" si="8"/>
        <v>7</v>
      </c>
      <c r="C297" s="95" t="s">
        <v>183</v>
      </c>
      <c r="D297" s="429" t="s">
        <v>350</v>
      </c>
      <c r="E297" s="429" t="s">
        <v>794</v>
      </c>
      <c r="F297" s="91">
        <v>505.76</v>
      </c>
      <c r="G297" s="486">
        <v>599.00191359999997</v>
      </c>
      <c r="H297" s="91">
        <v>2</v>
      </c>
      <c r="I297" s="91" t="s">
        <v>941</v>
      </c>
      <c r="J297" s="91" t="s">
        <v>942</v>
      </c>
      <c r="K297" s="91" t="s">
        <v>942</v>
      </c>
      <c r="L297" s="91" t="s">
        <v>942</v>
      </c>
      <c r="M297" s="91">
        <v>5</v>
      </c>
      <c r="N297" s="91" t="s">
        <v>943</v>
      </c>
      <c r="O297" s="91" t="s">
        <v>932</v>
      </c>
      <c r="P297" s="91" t="s">
        <v>919</v>
      </c>
      <c r="Q297" s="457" t="s">
        <v>792</v>
      </c>
      <c r="R297" s="91"/>
      <c r="S297" s="91"/>
      <c r="T297" s="91"/>
      <c r="U297" s="91" t="s">
        <v>792</v>
      </c>
      <c r="V297" s="91"/>
      <c r="W297" s="91"/>
      <c r="X297" s="91" t="s">
        <v>792</v>
      </c>
      <c r="Y297" s="91"/>
      <c r="Z297" s="91"/>
      <c r="AA297" s="91" t="s">
        <v>795</v>
      </c>
      <c r="AB297" s="91" t="s">
        <v>1049</v>
      </c>
      <c r="AC297" s="91" t="s">
        <v>921</v>
      </c>
      <c r="AD297" s="91" t="s">
        <v>792</v>
      </c>
      <c r="AE297" s="91"/>
      <c r="AF297" s="91"/>
      <c r="AG297" s="91" t="s">
        <v>922</v>
      </c>
      <c r="AH297" s="91"/>
      <c r="AI297" s="91" t="s">
        <v>1015</v>
      </c>
      <c r="AJ297" s="91" t="s">
        <v>923</v>
      </c>
      <c r="AK297" s="91"/>
      <c r="AL297" s="91" t="s">
        <v>924</v>
      </c>
      <c r="AM297" s="91" t="s">
        <v>925</v>
      </c>
      <c r="AN297" s="91"/>
      <c r="AO297" s="91"/>
      <c r="AP297" s="91"/>
      <c r="AQ297" s="91"/>
      <c r="AR297" s="91"/>
      <c r="AS297" s="91"/>
      <c r="AT297" s="91"/>
      <c r="AU297" s="91" t="s">
        <v>926</v>
      </c>
      <c r="AV297" s="91"/>
      <c r="AW297" s="91"/>
      <c r="AX297" s="91"/>
      <c r="AY297" s="91"/>
      <c r="AZ297" s="91"/>
      <c r="BA297" s="91" t="s">
        <v>792</v>
      </c>
      <c r="BB297" s="426"/>
      <c r="BC297" s="426"/>
      <c r="BD297" s="91" t="s">
        <v>792</v>
      </c>
      <c r="BE297" s="91" t="s">
        <v>927</v>
      </c>
      <c r="BF297" s="426">
        <v>0</v>
      </c>
      <c r="BG297" s="426">
        <v>0</v>
      </c>
      <c r="BH297" s="426">
        <v>0</v>
      </c>
      <c r="BI297" s="426">
        <v>0</v>
      </c>
      <c r="BJ297" s="426">
        <v>0</v>
      </c>
      <c r="BK297" s="426" t="s">
        <v>792</v>
      </c>
      <c r="BL297" s="91" t="s">
        <v>792</v>
      </c>
      <c r="BM297" s="426"/>
      <c r="BN297" s="426"/>
      <c r="BO297" s="91" t="s">
        <v>792</v>
      </c>
      <c r="BP297" s="426"/>
      <c r="BQ297" s="426"/>
      <c r="BR297" s="426"/>
    </row>
    <row r="298" spans="2:70" ht="14.4" x14ac:dyDescent="0.3">
      <c r="B298" s="425">
        <f t="shared" si="8"/>
        <v>8</v>
      </c>
      <c r="C298" s="95" t="s">
        <v>186</v>
      </c>
      <c r="D298" s="429" t="s">
        <v>350</v>
      </c>
      <c r="E298" s="429" t="s">
        <v>794</v>
      </c>
      <c r="F298" s="91">
        <v>547.98</v>
      </c>
      <c r="G298" s="486">
        <v>649</v>
      </c>
      <c r="H298" s="91">
        <v>2</v>
      </c>
      <c r="I298" s="91" t="s">
        <v>941</v>
      </c>
      <c r="J298" s="91" t="s">
        <v>942</v>
      </c>
      <c r="K298" s="91" t="s">
        <v>942</v>
      </c>
      <c r="L298" s="91" t="s">
        <v>942</v>
      </c>
      <c r="M298" s="91">
        <v>5</v>
      </c>
      <c r="N298" s="91" t="s">
        <v>943</v>
      </c>
      <c r="O298" s="91" t="s">
        <v>960</v>
      </c>
      <c r="P298" s="91" t="s">
        <v>919</v>
      </c>
      <c r="Q298" s="457" t="s">
        <v>792</v>
      </c>
      <c r="R298" s="91"/>
      <c r="S298" s="91"/>
      <c r="T298" s="91"/>
      <c r="U298" s="91" t="s">
        <v>792</v>
      </c>
      <c r="V298" s="91"/>
      <c r="W298" s="91"/>
      <c r="X298" s="91" t="s">
        <v>792</v>
      </c>
      <c r="Y298" s="91"/>
      <c r="Z298" s="91"/>
      <c r="AA298" s="91" t="s">
        <v>795</v>
      </c>
      <c r="AB298" s="91" t="s">
        <v>1049</v>
      </c>
      <c r="AC298" s="91" t="s">
        <v>921</v>
      </c>
      <c r="AD298" s="91" t="s">
        <v>792</v>
      </c>
      <c r="AE298" s="91"/>
      <c r="AF298" s="91"/>
      <c r="AG298" s="91" t="s">
        <v>922</v>
      </c>
      <c r="AH298" s="91"/>
      <c r="AI298" s="91" t="s">
        <v>1015</v>
      </c>
      <c r="AJ298" s="91" t="s">
        <v>923</v>
      </c>
      <c r="AK298" s="91"/>
      <c r="AL298" s="91" t="s">
        <v>924</v>
      </c>
      <c r="AM298" s="91" t="s">
        <v>925</v>
      </c>
      <c r="AN298" s="91"/>
      <c r="AO298" s="91"/>
      <c r="AP298" s="91"/>
      <c r="AQ298" s="91"/>
      <c r="AR298" s="91"/>
      <c r="AS298" s="91"/>
      <c r="AT298" s="91"/>
      <c r="AU298" s="91" t="s">
        <v>926</v>
      </c>
      <c r="AV298" s="91"/>
      <c r="AW298" s="91"/>
      <c r="AX298" s="91"/>
      <c r="AY298" s="91"/>
      <c r="AZ298" s="91"/>
      <c r="BA298" s="91" t="s">
        <v>792</v>
      </c>
      <c r="BB298" s="426"/>
      <c r="BC298" s="426"/>
      <c r="BD298" s="91" t="s">
        <v>792</v>
      </c>
      <c r="BE298" s="91" t="s">
        <v>927</v>
      </c>
      <c r="BF298" s="426">
        <v>0</v>
      </c>
      <c r="BG298" s="426">
        <v>0</v>
      </c>
      <c r="BH298" s="426">
        <v>0</v>
      </c>
      <c r="BI298" s="426">
        <v>0</v>
      </c>
      <c r="BJ298" s="426">
        <v>0</v>
      </c>
      <c r="BK298" s="426" t="s">
        <v>792</v>
      </c>
      <c r="BL298" s="91" t="s">
        <v>792</v>
      </c>
      <c r="BM298" s="426"/>
      <c r="BN298" s="426"/>
      <c r="BO298" s="91" t="s">
        <v>792</v>
      </c>
      <c r="BP298" s="426"/>
      <c r="BQ298" s="426"/>
      <c r="BR298" s="426"/>
    </row>
    <row r="299" spans="2:70" ht="14.4" x14ac:dyDescent="0.3">
      <c r="B299" s="498">
        <f t="shared" si="8"/>
        <v>9</v>
      </c>
      <c r="C299" s="95" t="s">
        <v>1036</v>
      </c>
      <c r="D299" s="429" t="s">
        <v>350</v>
      </c>
      <c r="E299" s="429" t="s">
        <v>794</v>
      </c>
      <c r="F299" s="91">
        <v>612.14</v>
      </c>
      <c r="G299" s="486">
        <v>725</v>
      </c>
      <c r="H299" s="91">
        <v>2</v>
      </c>
      <c r="I299" s="91" t="s">
        <v>941</v>
      </c>
      <c r="J299" s="91" t="s">
        <v>942</v>
      </c>
      <c r="K299" s="91" t="s">
        <v>942</v>
      </c>
      <c r="L299" s="91" t="s">
        <v>942</v>
      </c>
      <c r="M299" s="91">
        <v>5</v>
      </c>
      <c r="N299" s="91" t="s">
        <v>943</v>
      </c>
      <c r="O299" s="91" t="s">
        <v>928</v>
      </c>
      <c r="P299" s="91" t="s">
        <v>1050</v>
      </c>
      <c r="Q299" s="457" t="s">
        <v>792</v>
      </c>
      <c r="R299" s="91"/>
      <c r="S299" s="91"/>
      <c r="T299" s="91"/>
      <c r="U299" s="91" t="s">
        <v>792</v>
      </c>
      <c r="V299" s="91"/>
      <c r="W299" s="91"/>
      <c r="X299" s="91" t="s">
        <v>792</v>
      </c>
      <c r="Y299" s="91"/>
      <c r="Z299" s="91"/>
      <c r="AA299" s="91" t="s">
        <v>795</v>
      </c>
      <c r="AB299" s="91" t="s">
        <v>1049</v>
      </c>
      <c r="AC299" s="91" t="s">
        <v>921</v>
      </c>
      <c r="AD299" s="91" t="s">
        <v>792</v>
      </c>
      <c r="AE299" s="91"/>
      <c r="AF299" s="91"/>
      <c r="AG299" s="91" t="s">
        <v>922</v>
      </c>
      <c r="AH299" s="91"/>
      <c r="AI299" s="91" t="s">
        <v>1015</v>
      </c>
      <c r="AJ299" s="91" t="s">
        <v>923</v>
      </c>
      <c r="AK299" s="91"/>
      <c r="AL299" s="91" t="s">
        <v>924</v>
      </c>
      <c r="AM299" s="91" t="s">
        <v>925</v>
      </c>
      <c r="AN299" s="91"/>
      <c r="AO299" s="91"/>
      <c r="AP299" s="91"/>
      <c r="AQ299" s="91"/>
      <c r="AR299" s="91"/>
      <c r="AS299" s="91"/>
      <c r="AT299" s="91"/>
      <c r="AU299" s="91" t="s">
        <v>926</v>
      </c>
      <c r="AV299" s="91"/>
      <c r="AW299" s="91"/>
      <c r="AX299" s="91"/>
      <c r="AY299" s="91"/>
      <c r="AZ299" s="91"/>
      <c r="BA299" s="91" t="s">
        <v>792</v>
      </c>
      <c r="BB299" s="426"/>
      <c r="BC299" s="426"/>
      <c r="BD299" s="91" t="s">
        <v>792</v>
      </c>
      <c r="BE299" s="91" t="s">
        <v>927</v>
      </c>
      <c r="BF299" s="426">
        <v>0</v>
      </c>
      <c r="BG299" s="426">
        <v>0</v>
      </c>
      <c r="BH299" s="426">
        <v>0</v>
      </c>
      <c r="BI299" s="426">
        <v>0</v>
      </c>
      <c r="BJ299" s="426">
        <v>0</v>
      </c>
      <c r="BK299" s="426" t="s">
        <v>792</v>
      </c>
      <c r="BL299" s="91" t="s">
        <v>792</v>
      </c>
      <c r="BM299" s="426"/>
      <c r="BN299" s="426"/>
      <c r="BO299" s="91" t="s">
        <v>792</v>
      </c>
      <c r="BP299" s="426"/>
      <c r="BQ299" s="426"/>
      <c r="BR299" s="426"/>
    </row>
    <row r="300" spans="2:70" ht="14.4" x14ac:dyDescent="0.3">
      <c r="B300" s="425">
        <f t="shared" si="8"/>
        <v>10</v>
      </c>
      <c r="C300" s="95" t="s">
        <v>188</v>
      </c>
      <c r="D300" s="429" t="s">
        <v>350</v>
      </c>
      <c r="E300" s="429" t="s">
        <v>794</v>
      </c>
      <c r="F300" s="91">
        <v>843.5</v>
      </c>
      <c r="G300" s="486">
        <v>999</v>
      </c>
      <c r="H300" s="91">
        <v>3</v>
      </c>
      <c r="I300" s="91" t="s">
        <v>941</v>
      </c>
      <c r="J300" s="91" t="s">
        <v>941</v>
      </c>
      <c r="K300" s="91" t="s">
        <v>942</v>
      </c>
      <c r="L300" s="91" t="s">
        <v>942</v>
      </c>
      <c r="M300" s="91">
        <v>5</v>
      </c>
      <c r="N300" s="91" t="s">
        <v>943</v>
      </c>
      <c r="O300" s="91" t="s">
        <v>961</v>
      </c>
      <c r="P300" s="91" t="s">
        <v>960</v>
      </c>
      <c r="Q300" s="457" t="s">
        <v>792</v>
      </c>
      <c r="R300" s="91"/>
      <c r="S300" s="91"/>
      <c r="T300" s="91"/>
      <c r="U300" s="91" t="s">
        <v>792</v>
      </c>
      <c r="V300" s="91"/>
      <c r="W300" s="91"/>
      <c r="X300" s="91" t="s">
        <v>792</v>
      </c>
      <c r="Y300" s="91"/>
      <c r="Z300" s="91"/>
      <c r="AA300" s="91" t="s">
        <v>795</v>
      </c>
      <c r="AB300" s="91" t="s">
        <v>1049</v>
      </c>
      <c r="AC300" s="91" t="s">
        <v>921</v>
      </c>
      <c r="AD300" s="91" t="s">
        <v>792</v>
      </c>
      <c r="AE300" s="91"/>
      <c r="AF300" s="91"/>
      <c r="AG300" s="91" t="s">
        <v>922</v>
      </c>
      <c r="AH300" s="91"/>
      <c r="AI300" s="91" t="s">
        <v>1015</v>
      </c>
      <c r="AJ300" s="91" t="s">
        <v>923</v>
      </c>
      <c r="AK300" s="91"/>
      <c r="AL300" s="91" t="s">
        <v>924</v>
      </c>
      <c r="AM300" s="91" t="s">
        <v>925</v>
      </c>
      <c r="AN300" s="91"/>
      <c r="AO300" s="91"/>
      <c r="AP300" s="91"/>
      <c r="AQ300" s="91"/>
      <c r="AR300" s="91"/>
      <c r="AS300" s="91"/>
      <c r="AT300" s="91"/>
      <c r="AU300" s="91" t="s">
        <v>926</v>
      </c>
      <c r="AV300" s="91"/>
      <c r="AW300" s="91"/>
      <c r="AX300" s="91"/>
      <c r="AY300" s="91"/>
      <c r="AZ300" s="91"/>
      <c r="BA300" s="91" t="s">
        <v>792</v>
      </c>
      <c r="BB300" s="426"/>
      <c r="BC300" s="426"/>
      <c r="BD300" s="91" t="s">
        <v>792</v>
      </c>
      <c r="BE300" s="91" t="s">
        <v>927</v>
      </c>
      <c r="BF300" s="426">
        <v>0</v>
      </c>
      <c r="BG300" s="426">
        <v>0</v>
      </c>
      <c r="BH300" s="426">
        <v>0</v>
      </c>
      <c r="BI300" s="426">
        <v>0</v>
      </c>
      <c r="BJ300" s="426">
        <v>0</v>
      </c>
      <c r="BK300" s="426" t="s">
        <v>792</v>
      </c>
      <c r="BL300" s="91" t="s">
        <v>792</v>
      </c>
      <c r="BM300" s="426"/>
      <c r="BN300" s="426"/>
      <c r="BO300" s="91" t="s">
        <v>792</v>
      </c>
      <c r="BP300" s="426"/>
      <c r="BQ300" s="426"/>
      <c r="BR300" s="426"/>
    </row>
    <row r="301" spans="2:70" ht="14.7" customHeight="1" outlineLevel="1" x14ac:dyDescent="0.3">
      <c r="B301" s="425">
        <f t="shared" si="8"/>
        <v>11</v>
      </c>
      <c r="C301" s="95" t="s">
        <v>190</v>
      </c>
      <c r="D301" s="429" t="s">
        <v>350</v>
      </c>
      <c r="E301" s="429" t="s">
        <v>794</v>
      </c>
      <c r="F301" s="91">
        <v>1181.23</v>
      </c>
      <c r="G301" s="486">
        <v>1399</v>
      </c>
      <c r="H301" s="91">
        <v>6</v>
      </c>
      <c r="I301" s="91" t="s">
        <v>941</v>
      </c>
      <c r="J301" s="91" t="s">
        <v>942</v>
      </c>
      <c r="K301" s="91" t="s">
        <v>942</v>
      </c>
      <c r="L301" s="91" t="s">
        <v>942</v>
      </c>
      <c r="M301" s="91">
        <v>5</v>
      </c>
      <c r="N301" s="91" t="s">
        <v>943</v>
      </c>
      <c r="O301" s="91" t="s">
        <v>950</v>
      </c>
      <c r="P301" s="91" t="s">
        <v>960</v>
      </c>
      <c r="Q301" s="457" t="s">
        <v>792</v>
      </c>
      <c r="R301" s="91"/>
      <c r="S301" s="91"/>
      <c r="T301" s="91"/>
      <c r="U301" s="91" t="s">
        <v>792</v>
      </c>
      <c r="V301" s="91"/>
      <c r="W301" s="91"/>
      <c r="X301" s="91" t="s">
        <v>792</v>
      </c>
      <c r="Y301" s="91"/>
      <c r="Z301" s="91"/>
      <c r="AA301" s="91" t="s">
        <v>795</v>
      </c>
      <c r="AB301" s="91" t="s">
        <v>1049</v>
      </c>
      <c r="AC301" s="91" t="s">
        <v>921</v>
      </c>
      <c r="AD301" s="91" t="s">
        <v>792</v>
      </c>
      <c r="AE301" s="91"/>
      <c r="AF301" s="91"/>
      <c r="AG301" s="91" t="s">
        <v>922</v>
      </c>
      <c r="AH301" s="91"/>
      <c r="AI301" s="91" t="s">
        <v>1015</v>
      </c>
      <c r="AJ301" s="91" t="s">
        <v>923</v>
      </c>
      <c r="AK301" s="91"/>
      <c r="AL301" s="91" t="s">
        <v>924</v>
      </c>
      <c r="AM301" s="91" t="s">
        <v>925</v>
      </c>
      <c r="AN301" s="91"/>
      <c r="AO301" s="91"/>
      <c r="AP301" s="91"/>
      <c r="AQ301" s="91"/>
      <c r="AR301" s="91"/>
      <c r="AS301" s="91"/>
      <c r="AT301" s="91"/>
      <c r="AU301" s="91" t="s">
        <v>926</v>
      </c>
      <c r="AV301" s="91"/>
      <c r="AW301" s="91"/>
      <c r="AX301" s="91"/>
      <c r="AY301" s="91"/>
      <c r="AZ301" s="91"/>
      <c r="BA301" s="91" t="s">
        <v>792</v>
      </c>
      <c r="BB301" s="426"/>
      <c r="BC301" s="426"/>
      <c r="BD301" s="91" t="s">
        <v>792</v>
      </c>
      <c r="BE301" s="91" t="s">
        <v>927</v>
      </c>
      <c r="BF301" s="426">
        <v>0</v>
      </c>
      <c r="BG301" s="426">
        <v>0</v>
      </c>
      <c r="BH301" s="426">
        <v>0</v>
      </c>
      <c r="BI301" s="426">
        <v>0</v>
      </c>
      <c r="BJ301" s="426">
        <v>0</v>
      </c>
      <c r="BK301" s="426" t="s">
        <v>792</v>
      </c>
      <c r="BL301" s="91" t="s">
        <v>792</v>
      </c>
      <c r="BM301" s="426"/>
      <c r="BN301" s="426"/>
      <c r="BO301" s="91" t="s">
        <v>792</v>
      </c>
      <c r="BP301" s="426"/>
      <c r="BQ301" s="426"/>
      <c r="BR301" s="426"/>
    </row>
    <row r="302" spans="2:70" ht="14.7" customHeight="1" outlineLevel="1" x14ac:dyDescent="0.3">
      <c r="B302" s="425">
        <f t="shared" si="8"/>
        <v>12</v>
      </c>
      <c r="C302" s="95" t="s">
        <v>167</v>
      </c>
      <c r="D302" s="429" t="s">
        <v>350</v>
      </c>
      <c r="E302" s="429" t="s">
        <v>791</v>
      </c>
      <c r="F302" s="91">
        <v>240.52</v>
      </c>
      <c r="G302" s="486">
        <v>279</v>
      </c>
      <c r="H302" s="91"/>
      <c r="I302" s="91"/>
      <c r="J302" s="91"/>
      <c r="K302" s="91"/>
      <c r="L302" s="91"/>
      <c r="M302" s="91"/>
      <c r="N302" s="91"/>
      <c r="O302" s="91" t="s">
        <v>934</v>
      </c>
      <c r="P302" s="91" t="s">
        <v>920</v>
      </c>
      <c r="Q302" s="457" t="s">
        <v>793</v>
      </c>
      <c r="R302" s="91">
        <v>6</v>
      </c>
      <c r="S302" s="91">
        <v>60</v>
      </c>
      <c r="T302" s="91">
        <f>+S302</f>
        <v>60</v>
      </c>
      <c r="U302" s="91" t="s">
        <v>792</v>
      </c>
      <c r="V302" s="91"/>
      <c r="W302" s="91"/>
      <c r="X302" s="91" t="s">
        <v>792</v>
      </c>
      <c r="Y302" s="91"/>
      <c r="Z302" s="91"/>
      <c r="AA302" s="91" t="s">
        <v>792</v>
      </c>
      <c r="AB302" s="91"/>
      <c r="AC302" s="91"/>
      <c r="AD302" s="91" t="s">
        <v>792</v>
      </c>
      <c r="AE302" s="91"/>
      <c r="AF302" s="91"/>
      <c r="AG302" s="91" t="s">
        <v>922</v>
      </c>
      <c r="AH302" s="91"/>
      <c r="AI302" s="91"/>
      <c r="AJ302" s="91"/>
      <c r="AK302" s="91"/>
      <c r="AL302" s="91"/>
      <c r="AM302" s="91"/>
      <c r="AN302" s="91"/>
      <c r="AO302" s="91"/>
      <c r="AP302" s="91"/>
      <c r="AQ302" s="91"/>
      <c r="AR302" s="91"/>
      <c r="AS302" s="91"/>
      <c r="AT302" s="91"/>
      <c r="AU302" s="91"/>
      <c r="AV302" s="91"/>
      <c r="AW302" s="91"/>
      <c r="AX302" s="91"/>
      <c r="AY302" s="91"/>
      <c r="AZ302" s="91"/>
      <c r="BA302" s="91" t="s">
        <v>792</v>
      </c>
      <c r="BB302" s="426"/>
      <c r="BC302" s="426"/>
      <c r="BD302" s="91" t="s">
        <v>792</v>
      </c>
      <c r="BE302" s="91" t="s">
        <v>927</v>
      </c>
      <c r="BF302" s="426">
        <v>0</v>
      </c>
      <c r="BG302" s="426">
        <v>0</v>
      </c>
      <c r="BH302" s="426">
        <v>0</v>
      </c>
      <c r="BI302" s="426">
        <v>0</v>
      </c>
      <c r="BJ302" s="426">
        <v>0</v>
      </c>
      <c r="BK302" s="426" t="s">
        <v>792</v>
      </c>
      <c r="BL302" s="91" t="s">
        <v>792</v>
      </c>
      <c r="BM302" s="426"/>
      <c r="BN302" s="426"/>
      <c r="BO302" s="91" t="s">
        <v>792</v>
      </c>
      <c r="BP302" s="426"/>
      <c r="BQ302" s="426"/>
      <c r="BR302" s="426"/>
    </row>
    <row r="303" spans="2:70" ht="14.7" customHeight="1" outlineLevel="1" x14ac:dyDescent="0.3">
      <c r="B303" s="425">
        <f t="shared" si="8"/>
        <v>13</v>
      </c>
      <c r="C303" s="513" t="s">
        <v>170</v>
      </c>
      <c r="D303" s="429" t="s">
        <v>350</v>
      </c>
      <c r="E303" s="429" t="s">
        <v>791</v>
      </c>
      <c r="F303" s="91">
        <v>257.76</v>
      </c>
      <c r="G303" s="486">
        <v>299</v>
      </c>
      <c r="H303" s="91"/>
      <c r="I303" s="91"/>
      <c r="J303" s="91"/>
      <c r="K303" s="91"/>
      <c r="L303" s="91"/>
      <c r="M303" s="91"/>
      <c r="N303" s="91"/>
      <c r="O303" s="91" t="s">
        <v>935</v>
      </c>
      <c r="P303" s="91" t="s">
        <v>920</v>
      </c>
      <c r="Q303" s="457" t="s">
        <v>793</v>
      </c>
      <c r="R303" s="91">
        <v>6</v>
      </c>
      <c r="S303" s="91">
        <v>100</v>
      </c>
      <c r="T303" s="91">
        <f>+S303</f>
        <v>100</v>
      </c>
      <c r="U303" s="91" t="s">
        <v>792</v>
      </c>
      <c r="V303" s="91"/>
      <c r="W303" s="91"/>
      <c r="X303" s="91" t="s">
        <v>792</v>
      </c>
      <c r="Y303" s="91"/>
      <c r="Z303" s="91"/>
      <c r="AA303" s="91" t="s">
        <v>792</v>
      </c>
      <c r="AB303" s="91"/>
      <c r="AC303" s="91"/>
      <c r="AD303" s="91" t="s">
        <v>792</v>
      </c>
      <c r="AE303" s="91"/>
      <c r="AF303" s="91"/>
      <c r="AG303" s="91" t="s">
        <v>922</v>
      </c>
      <c r="AH303" s="91"/>
      <c r="AI303" s="91"/>
      <c r="AJ303" s="91"/>
      <c r="AK303" s="91"/>
      <c r="AL303" s="91"/>
      <c r="AM303" s="91"/>
      <c r="AN303" s="91"/>
      <c r="AO303" s="91"/>
      <c r="AP303" s="91"/>
      <c r="AQ303" s="91"/>
      <c r="AR303" s="91"/>
      <c r="AS303" s="91"/>
      <c r="AT303" s="91"/>
      <c r="AU303" s="91"/>
      <c r="AV303" s="91"/>
      <c r="AW303" s="91"/>
      <c r="AX303" s="91"/>
      <c r="AY303" s="91"/>
      <c r="AZ303" s="91"/>
      <c r="BA303" s="91" t="s">
        <v>792</v>
      </c>
      <c r="BB303" s="426"/>
      <c r="BC303" s="426"/>
      <c r="BD303" s="91" t="s">
        <v>792</v>
      </c>
      <c r="BE303" s="91" t="s">
        <v>927</v>
      </c>
      <c r="BF303" s="426">
        <v>0</v>
      </c>
      <c r="BG303" s="426">
        <v>0</v>
      </c>
      <c r="BH303" s="426">
        <v>0</v>
      </c>
      <c r="BI303" s="426">
        <v>0</v>
      </c>
      <c r="BJ303" s="426">
        <v>0</v>
      </c>
      <c r="BK303" s="426" t="s">
        <v>792</v>
      </c>
      <c r="BL303" s="91" t="s">
        <v>792</v>
      </c>
      <c r="BM303" s="426"/>
      <c r="BN303" s="426"/>
      <c r="BO303" s="91" t="s">
        <v>792</v>
      </c>
      <c r="BP303" s="426"/>
      <c r="BQ303" s="426"/>
      <c r="BR303" s="426"/>
    </row>
    <row r="304" spans="2:70" ht="14.7" customHeight="1" outlineLevel="1" x14ac:dyDescent="0.3">
      <c r="B304" s="425">
        <f t="shared" si="8"/>
        <v>14</v>
      </c>
      <c r="C304" s="95" t="s">
        <v>174</v>
      </c>
      <c r="D304" s="429" t="s">
        <v>350</v>
      </c>
      <c r="E304" s="429" t="s">
        <v>791</v>
      </c>
      <c r="F304" s="91">
        <v>300.86</v>
      </c>
      <c r="G304" s="486">
        <v>348.99759999999998</v>
      </c>
      <c r="H304" s="91"/>
      <c r="I304" s="91"/>
      <c r="J304" s="91"/>
      <c r="K304" s="91"/>
      <c r="L304" s="91"/>
      <c r="M304" s="91"/>
      <c r="N304" s="91"/>
      <c r="O304" s="91" t="s">
        <v>929</v>
      </c>
      <c r="P304" s="91" t="s">
        <v>931</v>
      </c>
      <c r="Q304" s="457" t="s">
        <v>793</v>
      </c>
      <c r="R304" s="91">
        <v>6</v>
      </c>
      <c r="S304" s="91">
        <v>150</v>
      </c>
      <c r="T304" s="91">
        <f>+S304</f>
        <v>150</v>
      </c>
      <c r="U304" s="91" t="s">
        <v>792</v>
      </c>
      <c r="V304" s="91"/>
      <c r="W304" s="91"/>
      <c r="X304" s="91" t="s">
        <v>792</v>
      </c>
      <c r="Y304" s="91"/>
      <c r="Z304" s="91"/>
      <c r="AA304" s="91" t="s">
        <v>795</v>
      </c>
      <c r="AB304" s="91" t="s">
        <v>1049</v>
      </c>
      <c r="AC304" s="91" t="s">
        <v>921</v>
      </c>
      <c r="AD304" s="91" t="s">
        <v>792</v>
      </c>
      <c r="AE304" s="91"/>
      <c r="AF304" s="91"/>
      <c r="AG304" s="91" t="s">
        <v>922</v>
      </c>
      <c r="AH304" s="91"/>
      <c r="AI304" s="91" t="s">
        <v>1015</v>
      </c>
      <c r="AJ304" s="91" t="s">
        <v>923</v>
      </c>
      <c r="AK304" s="91"/>
      <c r="AL304" s="91" t="s">
        <v>924</v>
      </c>
      <c r="AM304" s="91" t="s">
        <v>925</v>
      </c>
      <c r="AN304" s="91"/>
      <c r="AO304" s="91"/>
      <c r="AP304" s="91"/>
      <c r="AQ304" s="91"/>
      <c r="AR304" s="91"/>
      <c r="AS304" s="91"/>
      <c r="AT304" s="91"/>
      <c r="AU304" s="91" t="s">
        <v>926</v>
      </c>
      <c r="AV304" s="91"/>
      <c r="AW304" s="91"/>
      <c r="AX304" s="91"/>
      <c r="AY304" s="91"/>
      <c r="AZ304" s="91"/>
      <c r="BA304" s="91" t="s">
        <v>792</v>
      </c>
      <c r="BB304" s="426"/>
      <c r="BC304" s="426"/>
      <c r="BD304" s="91" t="s">
        <v>792</v>
      </c>
      <c r="BE304" s="91" t="s">
        <v>927</v>
      </c>
      <c r="BF304" s="426">
        <v>0</v>
      </c>
      <c r="BG304" s="426">
        <v>0</v>
      </c>
      <c r="BH304" s="426">
        <v>0</v>
      </c>
      <c r="BI304" s="426">
        <v>0</v>
      </c>
      <c r="BJ304" s="426">
        <v>0</v>
      </c>
      <c r="BK304" s="426" t="s">
        <v>792</v>
      </c>
      <c r="BL304" s="91" t="s">
        <v>792</v>
      </c>
      <c r="BM304" s="426"/>
      <c r="BN304" s="426"/>
      <c r="BO304" s="91" t="s">
        <v>792</v>
      </c>
      <c r="BP304" s="426"/>
      <c r="BQ304" s="426"/>
      <c r="BR304" s="426"/>
    </row>
    <row r="305" spans="2:70" ht="14.7" customHeight="1" outlineLevel="1" x14ac:dyDescent="0.3">
      <c r="B305" s="425">
        <f t="shared" si="8"/>
        <v>15</v>
      </c>
      <c r="C305" s="95" t="s">
        <v>177</v>
      </c>
      <c r="D305" s="429" t="s">
        <v>350</v>
      </c>
      <c r="E305" s="429" t="s">
        <v>791</v>
      </c>
      <c r="F305" s="91">
        <v>343.97</v>
      </c>
      <c r="G305" s="486">
        <v>398.99520000000001</v>
      </c>
      <c r="H305" s="91"/>
      <c r="I305" s="91"/>
      <c r="J305" s="91"/>
      <c r="K305" s="91"/>
      <c r="L305" s="91"/>
      <c r="M305" s="91"/>
      <c r="N305" s="91"/>
      <c r="O305" s="91" t="s">
        <v>959</v>
      </c>
      <c r="P305" s="91" t="s">
        <v>933</v>
      </c>
      <c r="Q305" s="457" t="s">
        <v>793</v>
      </c>
      <c r="R305" s="91">
        <v>6</v>
      </c>
      <c r="S305" s="91">
        <v>150</v>
      </c>
      <c r="T305" s="91">
        <f>+S305</f>
        <v>150</v>
      </c>
      <c r="U305" s="91" t="s">
        <v>792</v>
      </c>
      <c r="V305" s="91"/>
      <c r="W305" s="91"/>
      <c r="X305" s="91" t="s">
        <v>792</v>
      </c>
      <c r="Y305" s="91"/>
      <c r="Z305" s="91"/>
      <c r="AA305" s="91" t="s">
        <v>795</v>
      </c>
      <c r="AB305" s="91" t="s">
        <v>1049</v>
      </c>
      <c r="AC305" s="91" t="s">
        <v>921</v>
      </c>
      <c r="AD305" s="91" t="s">
        <v>792</v>
      </c>
      <c r="AE305" s="91"/>
      <c r="AF305" s="91"/>
      <c r="AG305" s="91" t="s">
        <v>922</v>
      </c>
      <c r="AH305" s="91"/>
      <c r="AI305" s="91" t="s">
        <v>1015</v>
      </c>
      <c r="AJ305" s="91" t="s">
        <v>923</v>
      </c>
      <c r="AK305" s="91"/>
      <c r="AL305" s="91" t="s">
        <v>924</v>
      </c>
      <c r="AM305" s="91" t="s">
        <v>925</v>
      </c>
      <c r="AN305" s="91"/>
      <c r="AO305" s="91"/>
      <c r="AP305" s="91"/>
      <c r="AQ305" s="91"/>
      <c r="AR305" s="91"/>
      <c r="AS305" s="91"/>
      <c r="AT305" s="91"/>
      <c r="AU305" s="91" t="s">
        <v>926</v>
      </c>
      <c r="AV305" s="91"/>
      <c r="AW305" s="91"/>
      <c r="AX305" s="91"/>
      <c r="AY305" s="91"/>
      <c r="AZ305" s="91"/>
      <c r="BA305" s="91" t="s">
        <v>792</v>
      </c>
      <c r="BB305" s="426"/>
      <c r="BC305" s="426"/>
      <c r="BD305" s="91" t="s">
        <v>792</v>
      </c>
      <c r="BE305" s="91" t="s">
        <v>927</v>
      </c>
      <c r="BF305" s="426">
        <v>0</v>
      </c>
      <c r="BG305" s="426">
        <v>0</v>
      </c>
      <c r="BH305" s="426">
        <v>0</v>
      </c>
      <c r="BI305" s="426">
        <v>0</v>
      </c>
      <c r="BJ305" s="426">
        <v>0</v>
      </c>
      <c r="BK305" s="426" t="s">
        <v>792</v>
      </c>
      <c r="BL305" s="91" t="s">
        <v>792</v>
      </c>
      <c r="BM305" s="426"/>
      <c r="BN305" s="426"/>
      <c r="BO305" s="91" t="s">
        <v>792</v>
      </c>
      <c r="BP305" s="426"/>
      <c r="BQ305" s="426"/>
      <c r="BR305" s="426"/>
    </row>
    <row r="306" spans="2:70" ht="14.7" customHeight="1" outlineLevel="1" x14ac:dyDescent="0.3">
      <c r="B306" s="425">
        <f t="shared" si="8"/>
        <v>16</v>
      </c>
      <c r="C306" s="95" t="s">
        <v>180</v>
      </c>
      <c r="D306" s="429" t="s">
        <v>350</v>
      </c>
      <c r="E306" s="429" t="s">
        <v>791</v>
      </c>
      <c r="F306" s="91">
        <v>387.07</v>
      </c>
      <c r="G306" s="486">
        <v>449</v>
      </c>
      <c r="H306" s="91"/>
      <c r="I306" s="91"/>
      <c r="J306" s="91"/>
      <c r="K306" s="91"/>
      <c r="L306" s="91"/>
      <c r="M306" s="91"/>
      <c r="N306" s="91"/>
      <c r="O306" s="91" t="s">
        <v>930</v>
      </c>
      <c r="P306" s="91" t="s">
        <v>933</v>
      </c>
      <c r="Q306" s="457" t="s">
        <v>792</v>
      </c>
      <c r="R306" s="91"/>
      <c r="S306" s="91"/>
      <c r="T306" s="91"/>
      <c r="U306" s="91" t="s">
        <v>792</v>
      </c>
      <c r="V306" s="91"/>
      <c r="W306" s="91"/>
      <c r="X306" s="91" t="s">
        <v>792</v>
      </c>
      <c r="Y306" s="91"/>
      <c r="Z306" s="91"/>
      <c r="AA306" s="91" t="s">
        <v>795</v>
      </c>
      <c r="AB306" s="91" t="s">
        <v>1049</v>
      </c>
      <c r="AC306" s="91" t="s">
        <v>921</v>
      </c>
      <c r="AD306" s="91" t="s">
        <v>792</v>
      </c>
      <c r="AE306" s="91"/>
      <c r="AF306" s="91"/>
      <c r="AG306" s="91" t="s">
        <v>922</v>
      </c>
      <c r="AH306" s="91"/>
      <c r="AI306" s="91" t="s">
        <v>1015</v>
      </c>
      <c r="AJ306" s="91" t="s">
        <v>923</v>
      </c>
      <c r="AK306" s="91"/>
      <c r="AL306" s="91" t="s">
        <v>924</v>
      </c>
      <c r="AM306" s="91" t="s">
        <v>925</v>
      </c>
      <c r="AN306" s="91"/>
      <c r="AO306" s="91"/>
      <c r="AP306" s="91"/>
      <c r="AQ306" s="91"/>
      <c r="AR306" s="91"/>
      <c r="AS306" s="91"/>
      <c r="AT306" s="91"/>
      <c r="AU306" s="91" t="s">
        <v>926</v>
      </c>
      <c r="AV306" s="91"/>
      <c r="AW306" s="91"/>
      <c r="AX306" s="91"/>
      <c r="AY306" s="91"/>
      <c r="AZ306" s="91"/>
      <c r="BA306" s="91" t="s">
        <v>792</v>
      </c>
      <c r="BB306" s="426"/>
      <c r="BC306" s="426"/>
      <c r="BD306" s="91" t="s">
        <v>792</v>
      </c>
      <c r="BE306" s="91" t="s">
        <v>927</v>
      </c>
      <c r="BF306" s="426">
        <v>0</v>
      </c>
      <c r="BG306" s="426">
        <v>0</v>
      </c>
      <c r="BH306" s="426">
        <v>0</v>
      </c>
      <c r="BI306" s="426">
        <v>0</v>
      </c>
      <c r="BJ306" s="426">
        <v>0</v>
      </c>
      <c r="BK306" s="426" t="s">
        <v>792</v>
      </c>
      <c r="BL306" s="91" t="s">
        <v>792</v>
      </c>
      <c r="BM306" s="426"/>
      <c r="BN306" s="426"/>
      <c r="BO306" s="91" t="s">
        <v>792</v>
      </c>
      <c r="BP306" s="426"/>
      <c r="BQ306" s="426"/>
      <c r="BR306" s="426"/>
    </row>
    <row r="307" spans="2:70" ht="14.7" customHeight="1" outlineLevel="1" x14ac:dyDescent="0.3">
      <c r="B307" s="498">
        <f t="shared" si="8"/>
        <v>17</v>
      </c>
      <c r="C307" s="95" t="s">
        <v>1037</v>
      </c>
      <c r="D307" s="429" t="s">
        <v>350</v>
      </c>
      <c r="E307" s="429" t="s">
        <v>791</v>
      </c>
      <c r="F307" s="91">
        <v>430.17</v>
      </c>
      <c r="G307" s="486">
        <v>499</v>
      </c>
      <c r="H307" s="91"/>
      <c r="I307" s="91"/>
      <c r="J307" s="91"/>
      <c r="K307" s="91"/>
      <c r="L307" s="91"/>
      <c r="M307" s="91"/>
      <c r="N307" s="91"/>
      <c r="O307" s="91" t="s">
        <v>1051</v>
      </c>
      <c r="P307" s="91" t="s">
        <v>1051</v>
      </c>
      <c r="Q307" s="457" t="s">
        <v>792</v>
      </c>
      <c r="R307" s="91"/>
      <c r="S307" s="91"/>
      <c r="T307" s="91"/>
      <c r="U307" s="91" t="s">
        <v>792</v>
      </c>
      <c r="V307" s="91"/>
      <c r="W307" s="91"/>
      <c r="X307" s="91" t="s">
        <v>792</v>
      </c>
      <c r="Y307" s="91"/>
      <c r="Z307" s="91"/>
      <c r="AA307" s="91" t="s">
        <v>795</v>
      </c>
      <c r="AB307" s="91" t="s">
        <v>1049</v>
      </c>
      <c r="AC307" s="91" t="s">
        <v>921</v>
      </c>
      <c r="AD307" s="91" t="s">
        <v>792</v>
      </c>
      <c r="AE307" s="91"/>
      <c r="AF307" s="91"/>
      <c r="AG307" s="91" t="s">
        <v>922</v>
      </c>
      <c r="AH307" s="91"/>
      <c r="AI307" s="91" t="s">
        <v>1015</v>
      </c>
      <c r="AJ307" s="91" t="s">
        <v>923</v>
      </c>
      <c r="AK307" s="91"/>
      <c r="AL307" s="91" t="s">
        <v>924</v>
      </c>
      <c r="AM307" s="91" t="s">
        <v>925</v>
      </c>
      <c r="AN307" s="91"/>
      <c r="AO307" s="91"/>
      <c r="AP307" s="91"/>
      <c r="AQ307" s="91"/>
      <c r="AR307" s="91"/>
      <c r="AS307" s="91"/>
      <c r="AT307" s="91"/>
      <c r="AU307" s="91" t="s">
        <v>926</v>
      </c>
      <c r="AV307" s="91"/>
      <c r="AW307" s="91"/>
      <c r="AX307" s="91"/>
      <c r="AY307" s="91"/>
      <c r="AZ307" s="91"/>
      <c r="BA307" s="91" t="s">
        <v>792</v>
      </c>
      <c r="BB307" s="426"/>
      <c r="BC307" s="426"/>
      <c r="BD307" s="91" t="s">
        <v>792</v>
      </c>
      <c r="BE307" s="91" t="s">
        <v>927</v>
      </c>
      <c r="BF307" s="426">
        <v>0</v>
      </c>
      <c r="BG307" s="426">
        <v>0</v>
      </c>
      <c r="BH307" s="426">
        <v>0</v>
      </c>
      <c r="BI307" s="426">
        <v>0</v>
      </c>
      <c r="BJ307" s="426">
        <v>0</v>
      </c>
      <c r="BK307" s="426" t="s">
        <v>792</v>
      </c>
      <c r="BL307" s="91" t="s">
        <v>792</v>
      </c>
      <c r="BM307" s="426"/>
      <c r="BN307" s="426"/>
      <c r="BO307" s="91" t="s">
        <v>792</v>
      </c>
      <c r="BP307" s="426"/>
      <c r="BQ307" s="426"/>
      <c r="BR307" s="426"/>
    </row>
    <row r="308" spans="2:70" ht="14.7" customHeight="1" outlineLevel="1" x14ac:dyDescent="0.3">
      <c r="B308" s="425">
        <f t="shared" si="8"/>
        <v>18</v>
      </c>
      <c r="C308" s="95" t="s">
        <v>182</v>
      </c>
      <c r="D308" s="429" t="s">
        <v>350</v>
      </c>
      <c r="E308" s="429" t="s">
        <v>791</v>
      </c>
      <c r="F308" s="91">
        <v>473.28</v>
      </c>
      <c r="G308" s="486">
        <v>549</v>
      </c>
      <c r="H308" s="91"/>
      <c r="I308" s="91"/>
      <c r="J308" s="91"/>
      <c r="K308" s="91"/>
      <c r="L308" s="91"/>
      <c r="M308" s="91"/>
      <c r="N308" s="91"/>
      <c r="O308" s="91" t="s">
        <v>960</v>
      </c>
      <c r="P308" s="91" t="s">
        <v>919</v>
      </c>
      <c r="Q308" s="457" t="s">
        <v>792</v>
      </c>
      <c r="R308" s="91"/>
      <c r="S308" s="91"/>
      <c r="T308" s="91"/>
      <c r="U308" s="91" t="s">
        <v>792</v>
      </c>
      <c r="V308" s="91"/>
      <c r="W308" s="91"/>
      <c r="X308" s="91" t="s">
        <v>792</v>
      </c>
      <c r="Y308" s="91"/>
      <c r="Z308" s="91"/>
      <c r="AA308" s="91" t="s">
        <v>795</v>
      </c>
      <c r="AB308" s="91" t="s">
        <v>1049</v>
      </c>
      <c r="AC308" s="91" t="s">
        <v>921</v>
      </c>
      <c r="AD308" s="91" t="s">
        <v>792</v>
      </c>
      <c r="AE308" s="91"/>
      <c r="AF308" s="91"/>
      <c r="AG308" s="91" t="s">
        <v>922</v>
      </c>
      <c r="AH308" s="91"/>
      <c r="AI308" s="91" t="s">
        <v>1015</v>
      </c>
      <c r="AJ308" s="91" t="s">
        <v>923</v>
      </c>
      <c r="AK308" s="91"/>
      <c r="AL308" s="91" t="s">
        <v>924</v>
      </c>
      <c r="AM308" s="91" t="s">
        <v>925</v>
      </c>
      <c r="AN308" s="91"/>
      <c r="AO308" s="91"/>
      <c r="AP308" s="91"/>
      <c r="AQ308" s="91"/>
      <c r="AR308" s="91"/>
      <c r="AS308" s="91"/>
      <c r="AT308" s="91"/>
      <c r="AU308" s="91" t="s">
        <v>926</v>
      </c>
      <c r="AV308" s="91"/>
      <c r="AW308" s="91"/>
      <c r="AX308" s="91"/>
      <c r="AY308" s="91"/>
      <c r="AZ308" s="91"/>
      <c r="BA308" s="91" t="s">
        <v>792</v>
      </c>
      <c r="BB308" s="426"/>
      <c r="BC308" s="426"/>
      <c r="BD308" s="91" t="s">
        <v>792</v>
      </c>
      <c r="BE308" s="91" t="s">
        <v>927</v>
      </c>
      <c r="BF308" s="426">
        <v>0</v>
      </c>
      <c r="BG308" s="426">
        <v>0</v>
      </c>
      <c r="BH308" s="426">
        <v>0</v>
      </c>
      <c r="BI308" s="426">
        <v>0</v>
      </c>
      <c r="BJ308" s="426">
        <v>0</v>
      </c>
      <c r="BK308" s="426" t="s">
        <v>792</v>
      </c>
      <c r="BL308" s="91" t="s">
        <v>792</v>
      </c>
      <c r="BM308" s="426"/>
      <c r="BN308" s="426"/>
      <c r="BO308" s="91" t="s">
        <v>792</v>
      </c>
      <c r="BP308" s="426"/>
      <c r="BQ308" s="426"/>
      <c r="BR308" s="426"/>
    </row>
    <row r="309" spans="2:70" ht="14.7" customHeight="1" outlineLevel="1" x14ac:dyDescent="0.3">
      <c r="B309" s="498">
        <f t="shared" si="8"/>
        <v>19</v>
      </c>
      <c r="C309" s="95" t="s">
        <v>1038</v>
      </c>
      <c r="D309" s="429" t="s">
        <v>350</v>
      </c>
      <c r="E309" s="429" t="s">
        <v>791</v>
      </c>
      <c r="F309" s="91">
        <v>559.48</v>
      </c>
      <c r="G309" s="486">
        <v>649</v>
      </c>
      <c r="H309" s="91"/>
      <c r="I309" s="91"/>
      <c r="J309" s="91"/>
      <c r="K309" s="91"/>
      <c r="L309" s="91"/>
      <c r="M309" s="91"/>
      <c r="N309" s="91"/>
      <c r="O309" s="91" t="s">
        <v>928</v>
      </c>
      <c r="P309" s="91" t="s">
        <v>1050</v>
      </c>
      <c r="Q309" s="457" t="s">
        <v>792</v>
      </c>
      <c r="R309" s="91"/>
      <c r="S309" s="91"/>
      <c r="T309" s="91"/>
      <c r="U309" s="91" t="s">
        <v>792</v>
      </c>
      <c r="V309" s="91"/>
      <c r="W309" s="91"/>
      <c r="X309" s="91" t="s">
        <v>792</v>
      </c>
      <c r="Y309" s="91"/>
      <c r="Z309" s="91"/>
      <c r="AA309" s="91" t="s">
        <v>795</v>
      </c>
      <c r="AB309" s="91" t="s">
        <v>1049</v>
      </c>
      <c r="AC309" s="91" t="s">
        <v>921</v>
      </c>
      <c r="AD309" s="91" t="s">
        <v>792</v>
      </c>
      <c r="AE309" s="91"/>
      <c r="AF309" s="91"/>
      <c r="AG309" s="91" t="s">
        <v>922</v>
      </c>
      <c r="AH309" s="91"/>
      <c r="AI309" s="91" t="s">
        <v>1015</v>
      </c>
      <c r="AJ309" s="91" t="s">
        <v>923</v>
      </c>
      <c r="AK309" s="91"/>
      <c r="AL309" s="91" t="s">
        <v>924</v>
      </c>
      <c r="AM309" s="91" t="s">
        <v>925</v>
      </c>
      <c r="AN309" s="91"/>
      <c r="AO309" s="91"/>
      <c r="AP309" s="91"/>
      <c r="AQ309" s="91"/>
      <c r="AR309" s="91"/>
      <c r="AS309" s="91"/>
      <c r="AT309" s="91"/>
      <c r="AU309" s="91" t="s">
        <v>926</v>
      </c>
      <c r="AV309" s="91"/>
      <c r="AW309" s="91"/>
      <c r="AX309" s="91"/>
      <c r="AY309" s="91"/>
      <c r="AZ309" s="91"/>
      <c r="BA309" s="91" t="s">
        <v>792</v>
      </c>
      <c r="BB309" s="426"/>
      <c r="BC309" s="426"/>
      <c r="BD309" s="91" t="s">
        <v>792</v>
      </c>
      <c r="BE309" s="91" t="s">
        <v>927</v>
      </c>
      <c r="BF309" s="426">
        <v>0</v>
      </c>
      <c r="BG309" s="426">
        <v>0</v>
      </c>
      <c r="BH309" s="426">
        <v>0</v>
      </c>
      <c r="BI309" s="426">
        <v>0</v>
      </c>
      <c r="BJ309" s="426">
        <v>0</v>
      </c>
      <c r="BK309" s="426" t="s">
        <v>792</v>
      </c>
      <c r="BL309" s="91" t="s">
        <v>792</v>
      </c>
      <c r="BM309" s="426"/>
      <c r="BN309" s="426"/>
      <c r="BO309" s="91" t="s">
        <v>792</v>
      </c>
      <c r="BP309" s="426"/>
      <c r="BQ309" s="426"/>
      <c r="BR309" s="426"/>
    </row>
    <row r="310" spans="2:70" ht="14.7" customHeight="1" outlineLevel="1" x14ac:dyDescent="0.3">
      <c r="B310" s="425">
        <f t="shared" si="8"/>
        <v>20</v>
      </c>
      <c r="C310" s="95" t="s">
        <v>184</v>
      </c>
      <c r="D310" s="429" t="s">
        <v>350</v>
      </c>
      <c r="E310" s="429" t="s">
        <v>791</v>
      </c>
      <c r="F310" s="91">
        <v>775</v>
      </c>
      <c r="G310" s="486">
        <v>898.99999999999989</v>
      </c>
      <c r="H310" s="91"/>
      <c r="I310" s="91"/>
      <c r="J310" s="91"/>
      <c r="K310" s="91"/>
      <c r="L310" s="91"/>
      <c r="M310" s="91"/>
      <c r="N310" s="91"/>
      <c r="O310" s="91" t="s">
        <v>961</v>
      </c>
      <c r="P310" s="91" t="s">
        <v>960</v>
      </c>
      <c r="Q310" s="457" t="s">
        <v>792</v>
      </c>
      <c r="R310" s="91"/>
      <c r="S310" s="91"/>
      <c r="T310" s="91"/>
      <c r="U310" s="91" t="s">
        <v>792</v>
      </c>
      <c r="V310" s="91"/>
      <c r="W310" s="91"/>
      <c r="X310" s="91" t="s">
        <v>792</v>
      </c>
      <c r="Y310" s="91"/>
      <c r="Z310" s="91"/>
      <c r="AA310" s="91" t="s">
        <v>795</v>
      </c>
      <c r="AB310" s="91" t="s">
        <v>1049</v>
      </c>
      <c r="AC310" s="91" t="s">
        <v>921</v>
      </c>
      <c r="AD310" s="91" t="s">
        <v>792</v>
      </c>
      <c r="AE310" s="91"/>
      <c r="AF310" s="91"/>
      <c r="AG310" s="91" t="s">
        <v>922</v>
      </c>
      <c r="AH310" s="91"/>
      <c r="AI310" s="91" t="s">
        <v>1015</v>
      </c>
      <c r="AJ310" s="91" t="s">
        <v>923</v>
      </c>
      <c r="AK310" s="91"/>
      <c r="AL310" s="91" t="s">
        <v>924</v>
      </c>
      <c r="AM310" s="91" t="s">
        <v>925</v>
      </c>
      <c r="AN310" s="91"/>
      <c r="AO310" s="91"/>
      <c r="AP310" s="91"/>
      <c r="AQ310" s="91"/>
      <c r="AR310" s="91"/>
      <c r="AS310" s="91"/>
      <c r="AT310" s="91"/>
      <c r="AU310" s="91" t="s">
        <v>926</v>
      </c>
      <c r="AV310" s="91"/>
      <c r="AW310" s="91"/>
      <c r="AX310" s="91"/>
      <c r="AY310" s="91"/>
      <c r="AZ310" s="91"/>
      <c r="BA310" s="91" t="s">
        <v>792</v>
      </c>
      <c r="BB310" s="426"/>
      <c r="BC310" s="426"/>
      <c r="BD310" s="91" t="s">
        <v>792</v>
      </c>
      <c r="BE310" s="91" t="s">
        <v>927</v>
      </c>
      <c r="BF310" s="426">
        <v>0</v>
      </c>
      <c r="BG310" s="426">
        <v>0</v>
      </c>
      <c r="BH310" s="426">
        <v>0</v>
      </c>
      <c r="BI310" s="426">
        <v>0</v>
      </c>
      <c r="BJ310" s="426">
        <v>0</v>
      </c>
      <c r="BK310" s="426" t="s">
        <v>792</v>
      </c>
      <c r="BL310" s="91" t="s">
        <v>792</v>
      </c>
      <c r="BM310" s="426"/>
      <c r="BN310" s="426"/>
      <c r="BO310" s="91" t="s">
        <v>792</v>
      </c>
      <c r="BP310" s="426"/>
      <c r="BQ310" s="426"/>
      <c r="BR310" s="426"/>
    </row>
    <row r="311" spans="2:70" ht="14.7" customHeight="1" outlineLevel="1" x14ac:dyDescent="0.3">
      <c r="B311" s="425">
        <f t="shared" si="8"/>
        <v>21</v>
      </c>
      <c r="C311" s="95" t="s">
        <v>194</v>
      </c>
      <c r="D311" s="429" t="s">
        <v>1039</v>
      </c>
      <c r="E311" s="429" t="s">
        <v>794</v>
      </c>
      <c r="F311" s="91">
        <v>336.9</v>
      </c>
      <c r="G311" s="486">
        <v>399</v>
      </c>
      <c r="H311" s="91">
        <v>1</v>
      </c>
      <c r="I311" s="91" t="s">
        <v>941</v>
      </c>
      <c r="J311" s="91" t="s">
        <v>942</v>
      </c>
      <c r="K311" s="91" t="s">
        <v>942</v>
      </c>
      <c r="L311" s="91" t="s">
        <v>942</v>
      </c>
      <c r="M311" s="91">
        <v>5</v>
      </c>
      <c r="N311" s="91" t="s">
        <v>943</v>
      </c>
      <c r="O311" s="91" t="s">
        <v>929</v>
      </c>
      <c r="P311" s="91" t="s">
        <v>931</v>
      </c>
      <c r="Q311" s="457" t="s">
        <v>793</v>
      </c>
      <c r="R311" s="91">
        <v>6</v>
      </c>
      <c r="S311" s="91">
        <v>150</v>
      </c>
      <c r="T311" s="91">
        <f>+S311</f>
        <v>150</v>
      </c>
      <c r="U311" s="91" t="s">
        <v>792</v>
      </c>
      <c r="V311" s="91"/>
      <c r="W311" s="91"/>
      <c r="X311" s="91" t="s">
        <v>792</v>
      </c>
      <c r="Y311" s="91"/>
      <c r="Z311" s="91"/>
      <c r="AA311" s="91" t="s">
        <v>792</v>
      </c>
      <c r="AB311" s="91"/>
      <c r="AC311" s="91"/>
      <c r="AD311" s="91" t="s">
        <v>792</v>
      </c>
      <c r="AE311" s="91"/>
      <c r="AF311" s="91"/>
      <c r="AG311" s="91" t="s">
        <v>922</v>
      </c>
      <c r="AH311" s="91"/>
      <c r="AI311" s="91"/>
      <c r="AJ311" s="91" t="s">
        <v>936</v>
      </c>
      <c r="AK311" s="91"/>
      <c r="AL311" s="91" t="s">
        <v>937</v>
      </c>
      <c r="AM311" s="91"/>
      <c r="AN311" s="91" t="s">
        <v>938</v>
      </c>
      <c r="AO311" s="91"/>
      <c r="AP311" s="91" t="s">
        <v>946</v>
      </c>
      <c r="AQ311" s="91" t="s">
        <v>947</v>
      </c>
      <c r="AR311" s="91" t="s">
        <v>948</v>
      </c>
      <c r="AS311" s="91"/>
      <c r="AT311" s="91" t="s">
        <v>949</v>
      </c>
      <c r="AU311" s="91" t="s">
        <v>926</v>
      </c>
      <c r="AV311" s="91"/>
      <c r="AW311" s="91"/>
      <c r="AX311" s="91"/>
      <c r="AY311" s="91"/>
      <c r="AZ311" s="91"/>
      <c r="BA311" s="91" t="s">
        <v>792</v>
      </c>
      <c r="BB311" s="426"/>
      <c r="BC311" s="426"/>
      <c r="BD311" s="91" t="s">
        <v>792</v>
      </c>
      <c r="BE311" s="91" t="s">
        <v>927</v>
      </c>
      <c r="BF311" s="426">
        <v>0</v>
      </c>
      <c r="BG311" s="426">
        <v>0</v>
      </c>
      <c r="BH311" s="426">
        <v>0</v>
      </c>
      <c r="BI311" s="426">
        <v>0</v>
      </c>
      <c r="BJ311" s="426">
        <v>0</v>
      </c>
      <c r="BK311" s="426" t="s">
        <v>792</v>
      </c>
      <c r="BL311" s="91" t="s">
        <v>792</v>
      </c>
      <c r="BM311" s="426"/>
      <c r="BN311" s="426"/>
      <c r="BO311" s="91" t="s">
        <v>792</v>
      </c>
      <c r="BP311" s="426"/>
      <c r="BQ311" s="426"/>
      <c r="BR311" s="426"/>
    </row>
    <row r="312" spans="2:70" ht="14.7" customHeight="1" outlineLevel="1" x14ac:dyDescent="0.3">
      <c r="B312" s="425">
        <f t="shared" si="8"/>
        <v>22</v>
      </c>
      <c r="C312" s="95" t="s">
        <v>196</v>
      </c>
      <c r="D312" s="429" t="s">
        <v>1039</v>
      </c>
      <c r="E312" s="429" t="s">
        <v>794</v>
      </c>
      <c r="F312" s="91">
        <v>463.55</v>
      </c>
      <c r="G312" s="486">
        <v>549</v>
      </c>
      <c r="H312" s="91">
        <v>2</v>
      </c>
      <c r="I312" s="91" t="s">
        <v>941</v>
      </c>
      <c r="J312" s="91" t="s">
        <v>941</v>
      </c>
      <c r="K312" s="91" t="s">
        <v>942</v>
      </c>
      <c r="L312" s="91" t="s">
        <v>942</v>
      </c>
      <c r="M312" s="91">
        <v>5</v>
      </c>
      <c r="N312" s="91" t="s">
        <v>943</v>
      </c>
      <c r="O312" s="91" t="s">
        <v>930</v>
      </c>
      <c r="P312" s="91" t="s">
        <v>931</v>
      </c>
      <c r="Q312" s="457" t="s">
        <v>792</v>
      </c>
      <c r="R312" s="91"/>
      <c r="S312" s="91"/>
      <c r="T312" s="91"/>
      <c r="U312" s="91" t="s">
        <v>792</v>
      </c>
      <c r="V312" s="91"/>
      <c r="W312" s="91"/>
      <c r="X312" s="91" t="s">
        <v>792</v>
      </c>
      <c r="Y312" s="91"/>
      <c r="Z312" s="91"/>
      <c r="AA312" s="91" t="s">
        <v>792</v>
      </c>
      <c r="AB312" s="91"/>
      <c r="AC312" s="91"/>
      <c r="AD312" s="91" t="s">
        <v>792</v>
      </c>
      <c r="AE312" s="91"/>
      <c r="AF312" s="91"/>
      <c r="AG312" s="91" t="s">
        <v>922</v>
      </c>
      <c r="AH312" s="91"/>
      <c r="AI312" s="91"/>
      <c r="AJ312" s="91" t="s">
        <v>936</v>
      </c>
      <c r="AK312" s="91"/>
      <c r="AL312" s="91" t="s">
        <v>937</v>
      </c>
      <c r="AM312" s="91"/>
      <c r="AN312" s="91" t="s">
        <v>938</v>
      </c>
      <c r="AO312" s="91"/>
      <c r="AP312" s="91" t="s">
        <v>946</v>
      </c>
      <c r="AQ312" s="91" t="s">
        <v>947</v>
      </c>
      <c r="AR312" s="91" t="s">
        <v>948</v>
      </c>
      <c r="AS312" s="91"/>
      <c r="AT312" s="91" t="s">
        <v>949</v>
      </c>
      <c r="AU312" s="91" t="s">
        <v>926</v>
      </c>
      <c r="AV312" s="91"/>
      <c r="AW312" s="91"/>
      <c r="AX312" s="91"/>
      <c r="AY312" s="91"/>
      <c r="AZ312" s="91"/>
      <c r="BA312" s="91" t="s">
        <v>792</v>
      </c>
      <c r="BB312" s="426"/>
      <c r="BC312" s="426"/>
      <c r="BD312" s="91" t="s">
        <v>792</v>
      </c>
      <c r="BE312" s="91" t="s">
        <v>927</v>
      </c>
      <c r="BF312" s="426">
        <v>0</v>
      </c>
      <c r="BG312" s="426">
        <v>0</v>
      </c>
      <c r="BH312" s="426">
        <v>0</v>
      </c>
      <c r="BI312" s="426">
        <v>0</v>
      </c>
      <c r="BJ312" s="426">
        <v>0</v>
      </c>
      <c r="BK312" s="426" t="s">
        <v>792</v>
      </c>
      <c r="BL312" s="91" t="s">
        <v>792</v>
      </c>
      <c r="BM312" s="426"/>
      <c r="BN312" s="426"/>
      <c r="BO312" s="91" t="s">
        <v>792</v>
      </c>
      <c r="BP312" s="426"/>
      <c r="BQ312" s="426"/>
      <c r="BR312" s="426"/>
    </row>
    <row r="313" spans="2:70" ht="14.7" customHeight="1" outlineLevel="1" x14ac:dyDescent="0.3">
      <c r="B313" s="425">
        <f t="shared" si="8"/>
        <v>23</v>
      </c>
      <c r="C313" s="95" t="s">
        <v>198</v>
      </c>
      <c r="D313" s="429" t="s">
        <v>1039</v>
      </c>
      <c r="E313" s="429" t="s">
        <v>794</v>
      </c>
      <c r="F313" s="91">
        <v>547.98</v>
      </c>
      <c r="G313" s="486">
        <v>649</v>
      </c>
      <c r="H313" s="91">
        <v>2</v>
      </c>
      <c r="I313" s="91" t="s">
        <v>941</v>
      </c>
      <c r="J313" s="91" t="s">
        <v>942</v>
      </c>
      <c r="K313" s="91" t="s">
        <v>942</v>
      </c>
      <c r="L313" s="91" t="s">
        <v>942</v>
      </c>
      <c r="M313" s="91">
        <v>5</v>
      </c>
      <c r="N313" s="91" t="s">
        <v>943</v>
      </c>
      <c r="O313" s="91" t="s">
        <v>932</v>
      </c>
      <c r="P313" s="91" t="s">
        <v>919</v>
      </c>
      <c r="Q313" s="457" t="s">
        <v>792</v>
      </c>
      <c r="R313" s="91"/>
      <c r="S313" s="91"/>
      <c r="T313" s="91"/>
      <c r="U313" s="91" t="s">
        <v>792</v>
      </c>
      <c r="V313" s="91"/>
      <c r="W313" s="91"/>
      <c r="X313" s="91" t="s">
        <v>792</v>
      </c>
      <c r="Y313" s="91"/>
      <c r="Z313" s="91"/>
      <c r="AA313" s="91" t="s">
        <v>792</v>
      </c>
      <c r="AB313" s="91"/>
      <c r="AC313" s="91"/>
      <c r="AD313" s="91" t="s">
        <v>792</v>
      </c>
      <c r="AE313" s="91"/>
      <c r="AF313" s="91"/>
      <c r="AG313" s="91" t="s">
        <v>922</v>
      </c>
      <c r="AH313" s="91"/>
      <c r="AI313" s="91"/>
      <c r="AJ313" s="91" t="s">
        <v>936</v>
      </c>
      <c r="AK313" s="91"/>
      <c r="AL313" s="91" t="s">
        <v>937</v>
      </c>
      <c r="AM313" s="91"/>
      <c r="AN313" s="91" t="s">
        <v>938</v>
      </c>
      <c r="AO313" s="91" t="s">
        <v>945</v>
      </c>
      <c r="AP313" s="91" t="s">
        <v>946</v>
      </c>
      <c r="AQ313" s="91" t="s">
        <v>947</v>
      </c>
      <c r="AR313" s="91" t="s">
        <v>948</v>
      </c>
      <c r="AS313" s="91" t="s">
        <v>951</v>
      </c>
      <c r="AT313" s="91" t="s">
        <v>949</v>
      </c>
      <c r="AU313" s="91" t="s">
        <v>926</v>
      </c>
      <c r="AV313" s="91"/>
      <c r="AW313" s="91"/>
      <c r="AX313" s="91"/>
      <c r="AY313" s="91"/>
      <c r="AZ313" s="91"/>
      <c r="BA313" s="91" t="s">
        <v>792</v>
      </c>
      <c r="BB313" s="426"/>
      <c r="BC313" s="426"/>
      <c r="BD313" s="91" t="s">
        <v>792</v>
      </c>
      <c r="BE313" s="91" t="s">
        <v>927</v>
      </c>
      <c r="BF313" s="426">
        <v>0</v>
      </c>
      <c r="BG313" s="426">
        <v>0</v>
      </c>
      <c r="BH313" s="426">
        <v>0</v>
      </c>
      <c r="BI313" s="426">
        <v>0</v>
      </c>
      <c r="BJ313" s="426">
        <v>0</v>
      </c>
      <c r="BK313" s="426" t="s">
        <v>792</v>
      </c>
      <c r="BL313" s="91" t="s">
        <v>792</v>
      </c>
      <c r="BM313" s="426"/>
      <c r="BN313" s="426"/>
      <c r="BO313" s="91" t="s">
        <v>792</v>
      </c>
      <c r="BP313" s="426"/>
      <c r="BQ313" s="426"/>
      <c r="BR313" s="426"/>
    </row>
    <row r="314" spans="2:70" ht="14.7" customHeight="1" outlineLevel="1" x14ac:dyDescent="0.3">
      <c r="B314" s="425">
        <f t="shared" si="8"/>
        <v>24</v>
      </c>
      <c r="C314" s="95" t="s">
        <v>200</v>
      </c>
      <c r="D314" s="429" t="s">
        <v>1039</v>
      </c>
      <c r="E314" s="429" t="s">
        <v>794</v>
      </c>
      <c r="F314" s="91">
        <v>674.64</v>
      </c>
      <c r="G314" s="486">
        <v>799</v>
      </c>
      <c r="H314" s="91">
        <v>2</v>
      </c>
      <c r="I314" s="91" t="s">
        <v>941</v>
      </c>
      <c r="J314" s="91" t="s">
        <v>941</v>
      </c>
      <c r="K314" s="91" t="s">
        <v>942</v>
      </c>
      <c r="L314" s="91" t="s">
        <v>942</v>
      </c>
      <c r="M314" s="91">
        <v>5</v>
      </c>
      <c r="N314" s="91" t="s">
        <v>943</v>
      </c>
      <c r="O314" s="91" t="s">
        <v>960</v>
      </c>
      <c r="P314" s="91" t="s">
        <v>919</v>
      </c>
      <c r="Q314" s="457" t="s">
        <v>792</v>
      </c>
      <c r="R314" s="91"/>
      <c r="S314" s="91"/>
      <c r="T314" s="91"/>
      <c r="U314" s="91" t="s">
        <v>792</v>
      </c>
      <c r="V314" s="91"/>
      <c r="W314" s="91"/>
      <c r="X314" s="91" t="s">
        <v>792</v>
      </c>
      <c r="Y314" s="91"/>
      <c r="Z314" s="91"/>
      <c r="AA314" s="91" t="s">
        <v>792</v>
      </c>
      <c r="AB314" s="91"/>
      <c r="AC314" s="91"/>
      <c r="AD314" s="91" t="s">
        <v>792</v>
      </c>
      <c r="AE314" s="91"/>
      <c r="AF314" s="91"/>
      <c r="AG314" s="91" t="s">
        <v>922</v>
      </c>
      <c r="AH314" s="91"/>
      <c r="AI314" s="91"/>
      <c r="AJ314" s="91" t="s">
        <v>936</v>
      </c>
      <c r="AK314" s="91"/>
      <c r="AL314" s="91" t="s">
        <v>937</v>
      </c>
      <c r="AM314" s="91"/>
      <c r="AN314" s="91" t="s">
        <v>938</v>
      </c>
      <c r="AO314" s="91" t="s">
        <v>945</v>
      </c>
      <c r="AP314" s="91" t="s">
        <v>946</v>
      </c>
      <c r="AQ314" s="91" t="s">
        <v>947</v>
      </c>
      <c r="AR314" s="91" t="s">
        <v>948</v>
      </c>
      <c r="AS314" s="91" t="s">
        <v>951</v>
      </c>
      <c r="AT314" s="91" t="s">
        <v>949</v>
      </c>
      <c r="AU314" s="91" t="s">
        <v>926</v>
      </c>
      <c r="AV314" s="91"/>
      <c r="AW314" s="91"/>
      <c r="AX314" s="91"/>
      <c r="AY314" s="91"/>
      <c r="AZ314" s="91"/>
      <c r="BA314" s="91" t="s">
        <v>792</v>
      </c>
      <c r="BB314" s="426"/>
      <c r="BC314" s="426"/>
      <c r="BD314" s="91" t="s">
        <v>792</v>
      </c>
      <c r="BE314" s="91" t="s">
        <v>927</v>
      </c>
      <c r="BF314" s="426">
        <v>0</v>
      </c>
      <c r="BG314" s="426">
        <v>0</v>
      </c>
      <c r="BH314" s="426">
        <v>0</v>
      </c>
      <c r="BI314" s="426">
        <v>0</v>
      </c>
      <c r="BJ314" s="426">
        <v>0</v>
      </c>
      <c r="BK314" s="426" t="s">
        <v>792</v>
      </c>
      <c r="BL314" s="91" t="s">
        <v>792</v>
      </c>
      <c r="BM314" s="426"/>
      <c r="BN314" s="426"/>
      <c r="BO314" s="91" t="s">
        <v>792</v>
      </c>
      <c r="BP314" s="426"/>
      <c r="BQ314" s="426"/>
      <c r="BR314" s="426"/>
    </row>
    <row r="315" spans="2:70" ht="14.7" customHeight="1" outlineLevel="1" x14ac:dyDescent="0.3">
      <c r="B315" s="425">
        <f t="shared" si="8"/>
        <v>25</v>
      </c>
      <c r="C315" s="95" t="s">
        <v>202</v>
      </c>
      <c r="D315" s="429" t="s">
        <v>1039</v>
      </c>
      <c r="E315" s="429" t="s">
        <v>794</v>
      </c>
      <c r="F315" s="91">
        <v>843.5</v>
      </c>
      <c r="G315" s="486">
        <v>999</v>
      </c>
      <c r="H315" s="91">
        <v>2</v>
      </c>
      <c r="I315" s="91" t="s">
        <v>941</v>
      </c>
      <c r="J315" s="91" t="s">
        <v>942</v>
      </c>
      <c r="K315" s="91" t="s">
        <v>942</v>
      </c>
      <c r="L315" s="91" t="s">
        <v>942</v>
      </c>
      <c r="M315" s="91">
        <v>5</v>
      </c>
      <c r="N315" s="91" t="s">
        <v>943</v>
      </c>
      <c r="O315" s="91" t="s">
        <v>928</v>
      </c>
      <c r="P315" s="91" t="s">
        <v>960</v>
      </c>
      <c r="Q315" s="457" t="s">
        <v>792</v>
      </c>
      <c r="R315" s="91"/>
      <c r="S315" s="91"/>
      <c r="T315" s="91"/>
      <c r="U315" s="91" t="s">
        <v>792</v>
      </c>
      <c r="V315" s="91"/>
      <c r="W315" s="91"/>
      <c r="X315" s="91" t="s">
        <v>792</v>
      </c>
      <c r="Y315" s="91"/>
      <c r="Z315" s="91"/>
      <c r="AA315" s="91" t="s">
        <v>792</v>
      </c>
      <c r="AB315" s="91"/>
      <c r="AC315" s="91"/>
      <c r="AD315" s="91" t="s">
        <v>792</v>
      </c>
      <c r="AE315" s="91"/>
      <c r="AF315" s="91"/>
      <c r="AG315" s="91" t="s">
        <v>922</v>
      </c>
      <c r="AH315" s="91"/>
      <c r="AI315" s="91"/>
      <c r="AJ315" s="91" t="s">
        <v>936</v>
      </c>
      <c r="AK315" s="91"/>
      <c r="AL315" s="91" t="s">
        <v>937</v>
      </c>
      <c r="AM315" s="91"/>
      <c r="AN315" s="91" t="s">
        <v>938</v>
      </c>
      <c r="AO315" s="91" t="s">
        <v>945</v>
      </c>
      <c r="AP315" s="91" t="s">
        <v>946</v>
      </c>
      <c r="AQ315" s="91" t="s">
        <v>947</v>
      </c>
      <c r="AR315" s="91"/>
      <c r="AS315" s="91" t="s">
        <v>951</v>
      </c>
      <c r="AT315" s="91" t="s">
        <v>949</v>
      </c>
      <c r="AU315" s="91" t="s">
        <v>926</v>
      </c>
      <c r="AV315" s="91"/>
      <c r="AW315" s="91"/>
      <c r="AX315" s="91"/>
      <c r="AY315" s="91"/>
      <c r="AZ315" s="91"/>
      <c r="BA315" s="91" t="s">
        <v>792</v>
      </c>
      <c r="BB315" s="426"/>
      <c r="BC315" s="426"/>
      <c r="BD315" s="91" t="s">
        <v>792</v>
      </c>
      <c r="BE315" s="91" t="s">
        <v>927</v>
      </c>
      <c r="BF315" s="426">
        <v>0</v>
      </c>
      <c r="BG315" s="426">
        <v>0</v>
      </c>
      <c r="BH315" s="426">
        <v>0</v>
      </c>
      <c r="BI315" s="426">
        <v>0</v>
      </c>
      <c r="BJ315" s="426">
        <v>0</v>
      </c>
      <c r="BK315" s="426" t="s">
        <v>792</v>
      </c>
      <c r="BL315" s="91" t="s">
        <v>792</v>
      </c>
      <c r="BM315" s="426"/>
      <c r="BN315" s="426"/>
      <c r="BO315" s="91" t="s">
        <v>792</v>
      </c>
      <c r="BP315" s="426"/>
      <c r="BQ315" s="426"/>
      <c r="BR315" s="426"/>
    </row>
    <row r="316" spans="2:70" ht="14.7" customHeight="1" outlineLevel="1" x14ac:dyDescent="0.3">
      <c r="B316" s="425">
        <f t="shared" si="8"/>
        <v>26</v>
      </c>
      <c r="C316" s="95" t="s">
        <v>203</v>
      </c>
      <c r="D316" s="429" t="s">
        <v>1039</v>
      </c>
      <c r="E316" s="429" t="s">
        <v>794</v>
      </c>
      <c r="F316" s="91">
        <v>1265.6600000000001</v>
      </c>
      <c r="G316" s="486">
        <v>1499</v>
      </c>
      <c r="H316" s="91">
        <v>2</v>
      </c>
      <c r="I316" s="91" t="s">
        <v>941</v>
      </c>
      <c r="J316" s="91" t="s">
        <v>941</v>
      </c>
      <c r="K316" s="91" t="s">
        <v>942</v>
      </c>
      <c r="L316" s="91" t="s">
        <v>942</v>
      </c>
      <c r="M316" s="91">
        <v>5</v>
      </c>
      <c r="N316" s="91" t="s">
        <v>943</v>
      </c>
      <c r="O316" s="91" t="s">
        <v>961</v>
      </c>
      <c r="P316" s="91" t="s">
        <v>960</v>
      </c>
      <c r="Q316" s="457" t="s">
        <v>792</v>
      </c>
      <c r="R316" s="91"/>
      <c r="S316" s="91"/>
      <c r="T316" s="91"/>
      <c r="U316" s="91" t="s">
        <v>792</v>
      </c>
      <c r="V316" s="91"/>
      <c r="W316" s="91"/>
      <c r="X316" s="91" t="s">
        <v>792</v>
      </c>
      <c r="Y316" s="91"/>
      <c r="Z316" s="91"/>
      <c r="AA316" s="91" t="s">
        <v>792</v>
      </c>
      <c r="AB316" s="91"/>
      <c r="AC316" s="91"/>
      <c r="AD316" s="91" t="s">
        <v>792</v>
      </c>
      <c r="AE316" s="91"/>
      <c r="AF316" s="91"/>
      <c r="AG316" s="91" t="s">
        <v>922</v>
      </c>
      <c r="AH316" s="91"/>
      <c r="AI316" s="91"/>
      <c r="AJ316" s="91" t="s">
        <v>936</v>
      </c>
      <c r="AK316" s="91"/>
      <c r="AL316" s="91" t="s">
        <v>937</v>
      </c>
      <c r="AM316" s="91"/>
      <c r="AN316" s="91" t="s">
        <v>938</v>
      </c>
      <c r="AO316" s="91" t="s">
        <v>945</v>
      </c>
      <c r="AP316" s="91" t="s">
        <v>946</v>
      </c>
      <c r="AQ316" s="91"/>
      <c r="AR316" s="91" t="s">
        <v>952</v>
      </c>
      <c r="AS316" s="91" t="s">
        <v>951</v>
      </c>
      <c r="AT316" s="91" t="s">
        <v>949</v>
      </c>
      <c r="AU316" s="91" t="s">
        <v>926</v>
      </c>
      <c r="AV316" s="91"/>
      <c r="AW316" s="91"/>
      <c r="AX316" s="91"/>
      <c r="AY316" s="91"/>
      <c r="AZ316" s="91"/>
      <c r="BA316" s="91" t="s">
        <v>792</v>
      </c>
      <c r="BB316" s="426"/>
      <c r="BC316" s="426"/>
      <c r="BD316" s="91" t="s">
        <v>792</v>
      </c>
      <c r="BE316" s="91" t="s">
        <v>927</v>
      </c>
      <c r="BF316" s="426">
        <v>0</v>
      </c>
      <c r="BG316" s="426">
        <v>0</v>
      </c>
      <c r="BH316" s="426">
        <v>0</v>
      </c>
      <c r="BI316" s="426">
        <v>0</v>
      </c>
      <c r="BJ316" s="426">
        <v>0</v>
      </c>
      <c r="BK316" s="426" t="s">
        <v>792</v>
      </c>
      <c r="BL316" s="91" t="s">
        <v>792</v>
      </c>
      <c r="BM316" s="426"/>
      <c r="BN316" s="426"/>
      <c r="BO316" s="91" t="s">
        <v>792</v>
      </c>
      <c r="BP316" s="426"/>
      <c r="BQ316" s="426"/>
      <c r="BR316" s="426"/>
    </row>
    <row r="317" spans="2:70" ht="14.7" customHeight="1" outlineLevel="1" x14ac:dyDescent="0.3">
      <c r="B317" s="425">
        <f t="shared" si="8"/>
        <v>27</v>
      </c>
      <c r="C317" s="95" t="s">
        <v>204</v>
      </c>
      <c r="D317" s="429" t="s">
        <v>1039</v>
      </c>
      <c r="E317" s="429" t="s">
        <v>794</v>
      </c>
      <c r="F317" s="91">
        <v>1510.52</v>
      </c>
      <c r="G317" s="486">
        <v>1789</v>
      </c>
      <c r="H317" s="91">
        <v>4</v>
      </c>
      <c r="I317" s="91" t="s">
        <v>941</v>
      </c>
      <c r="J317" s="91" t="s">
        <v>941</v>
      </c>
      <c r="K317" s="91" t="s">
        <v>942</v>
      </c>
      <c r="L317" s="91" t="s">
        <v>942</v>
      </c>
      <c r="M317" s="91">
        <v>5</v>
      </c>
      <c r="N317" s="91" t="s">
        <v>943</v>
      </c>
      <c r="O317" s="91" t="s">
        <v>961</v>
      </c>
      <c r="P317" s="91" t="s">
        <v>960</v>
      </c>
      <c r="Q317" s="457" t="s">
        <v>792</v>
      </c>
      <c r="R317" s="91"/>
      <c r="S317" s="91"/>
      <c r="T317" s="91"/>
      <c r="U317" s="91" t="s">
        <v>792</v>
      </c>
      <c r="V317" s="91"/>
      <c r="W317" s="91"/>
      <c r="X317" s="91" t="s">
        <v>792</v>
      </c>
      <c r="Y317" s="91"/>
      <c r="Z317" s="91"/>
      <c r="AA317" s="91" t="s">
        <v>792</v>
      </c>
      <c r="AB317" s="91"/>
      <c r="AC317" s="91"/>
      <c r="AD317" s="91" t="s">
        <v>792</v>
      </c>
      <c r="AE317" s="91"/>
      <c r="AF317" s="91"/>
      <c r="AG317" s="91" t="s">
        <v>922</v>
      </c>
      <c r="AH317" s="91"/>
      <c r="AI317" s="91"/>
      <c r="AJ317" s="91" t="s">
        <v>936</v>
      </c>
      <c r="AK317" s="91"/>
      <c r="AL317" s="91" t="s">
        <v>937</v>
      </c>
      <c r="AM317" s="91"/>
      <c r="AN317" s="91" t="s">
        <v>938</v>
      </c>
      <c r="AO317" s="91" t="s">
        <v>945</v>
      </c>
      <c r="AP317" s="91" t="s">
        <v>946</v>
      </c>
      <c r="AQ317" s="91"/>
      <c r="AR317" s="91" t="s">
        <v>952</v>
      </c>
      <c r="AS317" s="91" t="s">
        <v>951</v>
      </c>
      <c r="AT317" s="91" t="s">
        <v>949</v>
      </c>
      <c r="AU317" s="91" t="s">
        <v>926</v>
      </c>
      <c r="AV317" s="91"/>
      <c r="AW317" s="91"/>
      <c r="AX317" s="91"/>
      <c r="AY317" s="91"/>
      <c r="AZ317" s="91"/>
      <c r="BA317" s="91" t="s">
        <v>792</v>
      </c>
      <c r="BB317" s="426"/>
      <c r="BC317" s="426"/>
      <c r="BD317" s="91" t="s">
        <v>792</v>
      </c>
      <c r="BE317" s="91" t="s">
        <v>927</v>
      </c>
      <c r="BF317" s="426">
        <v>0</v>
      </c>
      <c r="BG317" s="426">
        <v>0</v>
      </c>
      <c r="BH317" s="426">
        <v>0</v>
      </c>
      <c r="BI317" s="426">
        <v>0</v>
      </c>
      <c r="BJ317" s="426">
        <v>0</v>
      </c>
      <c r="BK317" s="426" t="s">
        <v>792</v>
      </c>
      <c r="BL317" s="91" t="s">
        <v>792</v>
      </c>
      <c r="BM317" s="426"/>
      <c r="BN317" s="426"/>
      <c r="BO317" s="91" t="s">
        <v>792</v>
      </c>
      <c r="BP317" s="426"/>
      <c r="BQ317" s="426"/>
      <c r="BR317" s="426"/>
    </row>
    <row r="318" spans="2:70" ht="14.7" customHeight="1" outlineLevel="1" x14ac:dyDescent="0.3">
      <c r="B318" s="425">
        <f t="shared" si="8"/>
        <v>28</v>
      </c>
      <c r="C318" s="95" t="s">
        <v>205</v>
      </c>
      <c r="D318" s="429" t="s">
        <v>1039</v>
      </c>
      <c r="E318" s="429" t="s">
        <v>794</v>
      </c>
      <c r="F318" s="91">
        <v>1932.69</v>
      </c>
      <c r="G318" s="486">
        <v>2289</v>
      </c>
      <c r="H318" s="91">
        <v>6</v>
      </c>
      <c r="I318" s="91" t="s">
        <v>941</v>
      </c>
      <c r="J318" s="91" t="s">
        <v>941</v>
      </c>
      <c r="K318" s="91" t="s">
        <v>942</v>
      </c>
      <c r="L318" s="91" t="s">
        <v>942</v>
      </c>
      <c r="M318" s="91">
        <v>5</v>
      </c>
      <c r="N318" s="91" t="s">
        <v>943</v>
      </c>
      <c r="O318" s="91" t="s">
        <v>950</v>
      </c>
      <c r="P318" s="91" t="s">
        <v>960</v>
      </c>
      <c r="Q318" s="457" t="s">
        <v>792</v>
      </c>
      <c r="R318" s="91"/>
      <c r="S318" s="91"/>
      <c r="T318" s="91"/>
      <c r="U318" s="91" t="s">
        <v>792</v>
      </c>
      <c r="V318" s="91"/>
      <c r="W318" s="91"/>
      <c r="X318" s="91" t="s">
        <v>792</v>
      </c>
      <c r="Y318" s="91"/>
      <c r="Z318" s="91"/>
      <c r="AA318" s="91" t="s">
        <v>792</v>
      </c>
      <c r="AB318" s="91"/>
      <c r="AC318" s="91"/>
      <c r="AD318" s="91" t="s">
        <v>792</v>
      </c>
      <c r="AE318" s="91"/>
      <c r="AF318" s="91"/>
      <c r="AG318" s="91" t="s">
        <v>922</v>
      </c>
      <c r="AH318" s="91"/>
      <c r="AI318" s="91"/>
      <c r="AJ318" s="91" t="s">
        <v>936</v>
      </c>
      <c r="AK318" s="91"/>
      <c r="AL318" s="91" t="s">
        <v>937</v>
      </c>
      <c r="AM318" s="91"/>
      <c r="AN318" s="91" t="s">
        <v>938</v>
      </c>
      <c r="AO318" s="91" t="s">
        <v>945</v>
      </c>
      <c r="AP318" s="91" t="s">
        <v>946</v>
      </c>
      <c r="AQ318" s="91"/>
      <c r="AR318" s="91" t="s">
        <v>952</v>
      </c>
      <c r="AS318" s="91" t="s">
        <v>951</v>
      </c>
      <c r="AT318" s="91" t="s">
        <v>949</v>
      </c>
      <c r="AU318" s="91" t="s">
        <v>926</v>
      </c>
      <c r="AV318" s="91"/>
      <c r="AW318" s="91"/>
      <c r="AX318" s="91"/>
      <c r="AY318" s="91"/>
      <c r="AZ318" s="91"/>
      <c r="BA318" s="91" t="s">
        <v>792</v>
      </c>
      <c r="BB318" s="426"/>
      <c r="BC318" s="426"/>
      <c r="BD318" s="91" t="s">
        <v>792</v>
      </c>
      <c r="BE318" s="91" t="s">
        <v>927</v>
      </c>
      <c r="BF318" s="426">
        <v>0</v>
      </c>
      <c r="BG318" s="426">
        <v>0</v>
      </c>
      <c r="BH318" s="426">
        <v>0</v>
      </c>
      <c r="BI318" s="426">
        <v>0</v>
      </c>
      <c r="BJ318" s="426">
        <v>0</v>
      </c>
      <c r="BK318" s="426" t="s">
        <v>792</v>
      </c>
      <c r="BL318" s="91" t="s">
        <v>792</v>
      </c>
      <c r="BM318" s="426"/>
      <c r="BN318" s="426"/>
      <c r="BO318" s="91" t="s">
        <v>792</v>
      </c>
      <c r="BP318" s="426"/>
      <c r="BQ318" s="426"/>
      <c r="BR318" s="426"/>
    </row>
    <row r="319" spans="2:70" ht="14.7" customHeight="1" outlineLevel="1" x14ac:dyDescent="0.3">
      <c r="B319" s="425">
        <f t="shared" si="8"/>
        <v>29</v>
      </c>
      <c r="C319" s="513" t="s">
        <v>187</v>
      </c>
      <c r="D319" s="429" t="s">
        <v>1039</v>
      </c>
      <c r="E319" s="429" t="s">
        <v>791</v>
      </c>
      <c r="F319" s="91">
        <v>257.76</v>
      </c>
      <c r="G319" s="486">
        <v>299</v>
      </c>
      <c r="H319" s="91"/>
      <c r="I319" s="91"/>
      <c r="J319" s="91"/>
      <c r="K319" s="91"/>
      <c r="L319" s="91"/>
      <c r="M319" s="91"/>
      <c r="N319" s="91"/>
      <c r="O319" s="91" t="s">
        <v>935</v>
      </c>
      <c r="P319" s="91" t="s">
        <v>920</v>
      </c>
      <c r="Q319" s="457" t="s">
        <v>792</v>
      </c>
      <c r="R319" s="91"/>
      <c r="S319" s="91"/>
      <c r="T319" s="91"/>
      <c r="U319" s="91" t="s">
        <v>792</v>
      </c>
      <c r="V319" s="91"/>
      <c r="W319" s="91"/>
      <c r="X319" s="91" t="s">
        <v>792</v>
      </c>
      <c r="Y319" s="91"/>
      <c r="Z319" s="91"/>
      <c r="AA319" s="91" t="s">
        <v>792</v>
      </c>
      <c r="AB319" s="91"/>
      <c r="AC319" s="91"/>
      <c r="AD319" s="91" t="s">
        <v>792</v>
      </c>
      <c r="AE319" s="91"/>
      <c r="AF319" s="91"/>
      <c r="AG319" s="91" t="s">
        <v>922</v>
      </c>
      <c r="AH319" s="91"/>
      <c r="AI319" s="91"/>
      <c r="AJ319" s="91"/>
      <c r="AK319" s="91"/>
      <c r="AL319" s="91"/>
      <c r="AM319" s="91"/>
      <c r="AN319" s="91"/>
      <c r="AO319" s="91"/>
      <c r="AP319" s="91"/>
      <c r="AQ319" s="91"/>
      <c r="AR319" s="91"/>
      <c r="AS319" s="91"/>
      <c r="AT319" s="91"/>
      <c r="AU319" s="91"/>
      <c r="AV319" s="91"/>
      <c r="AW319" s="91"/>
      <c r="AX319" s="91"/>
      <c r="AY319" s="91"/>
      <c r="AZ319" s="91"/>
      <c r="BA319" s="91" t="s">
        <v>792</v>
      </c>
      <c r="BB319" s="426"/>
      <c r="BC319" s="426"/>
      <c r="BD319" s="91" t="s">
        <v>792</v>
      </c>
      <c r="BE319" s="91" t="s">
        <v>927</v>
      </c>
      <c r="BF319" s="426">
        <v>0</v>
      </c>
      <c r="BG319" s="426">
        <v>0</v>
      </c>
      <c r="BH319" s="426">
        <v>0</v>
      </c>
      <c r="BI319" s="426">
        <v>0</v>
      </c>
      <c r="BJ319" s="426">
        <v>0</v>
      </c>
      <c r="BK319" s="426" t="s">
        <v>792</v>
      </c>
      <c r="BL319" s="91" t="s">
        <v>792</v>
      </c>
      <c r="BM319" s="426"/>
      <c r="BN319" s="426"/>
      <c r="BO319" s="91" t="s">
        <v>792</v>
      </c>
      <c r="BP319" s="426"/>
      <c r="BQ319" s="426"/>
      <c r="BR319" s="426"/>
    </row>
    <row r="320" spans="2:70" ht="14.7" customHeight="1" outlineLevel="1" x14ac:dyDescent="0.3">
      <c r="B320" s="425">
        <f t="shared" si="8"/>
        <v>30</v>
      </c>
      <c r="C320" s="95" t="s">
        <v>189</v>
      </c>
      <c r="D320" s="429" t="s">
        <v>1039</v>
      </c>
      <c r="E320" s="429" t="s">
        <v>791</v>
      </c>
      <c r="F320" s="91">
        <v>300.86</v>
      </c>
      <c r="G320" s="486">
        <v>348.99759999999998</v>
      </c>
      <c r="H320" s="91"/>
      <c r="I320" s="91"/>
      <c r="J320" s="91"/>
      <c r="K320" s="91"/>
      <c r="L320" s="91"/>
      <c r="M320" s="91"/>
      <c r="N320" s="91"/>
      <c r="O320" s="91" t="s">
        <v>929</v>
      </c>
      <c r="P320" s="91" t="s">
        <v>931</v>
      </c>
      <c r="Q320" s="457" t="s">
        <v>793</v>
      </c>
      <c r="R320" s="91">
        <v>6</v>
      </c>
      <c r="S320" s="91">
        <v>150</v>
      </c>
      <c r="T320" s="91">
        <f>+S320</f>
        <v>150</v>
      </c>
      <c r="U320" s="91" t="s">
        <v>792</v>
      </c>
      <c r="V320" s="91"/>
      <c r="W320" s="91"/>
      <c r="X320" s="91" t="s">
        <v>792</v>
      </c>
      <c r="Y320" s="91"/>
      <c r="Z320" s="91"/>
      <c r="AA320" s="91" t="s">
        <v>792</v>
      </c>
      <c r="AB320" s="91"/>
      <c r="AC320" s="91"/>
      <c r="AD320" s="91" t="s">
        <v>792</v>
      </c>
      <c r="AE320" s="91"/>
      <c r="AF320" s="91"/>
      <c r="AG320" s="91" t="s">
        <v>922</v>
      </c>
      <c r="AH320" s="91"/>
      <c r="AI320" s="91"/>
      <c r="AJ320" s="91" t="s">
        <v>936</v>
      </c>
      <c r="AK320" s="91"/>
      <c r="AL320" s="91" t="s">
        <v>937</v>
      </c>
      <c r="AM320" s="91"/>
      <c r="AN320" s="91" t="s">
        <v>938</v>
      </c>
      <c r="AO320" s="91"/>
      <c r="AP320" s="91"/>
      <c r="AQ320" s="91"/>
      <c r="AR320" s="91"/>
      <c r="AS320" s="91"/>
      <c r="AT320" s="91"/>
      <c r="AU320" s="91" t="s">
        <v>926</v>
      </c>
      <c r="AV320" s="91"/>
      <c r="AW320" s="91"/>
      <c r="AX320" s="91"/>
      <c r="AY320" s="91"/>
      <c r="AZ320" s="91"/>
      <c r="BA320" s="91" t="s">
        <v>792</v>
      </c>
      <c r="BB320" s="426"/>
      <c r="BC320" s="426"/>
      <c r="BD320" s="91" t="s">
        <v>792</v>
      </c>
      <c r="BE320" s="91" t="s">
        <v>927</v>
      </c>
      <c r="BF320" s="426">
        <v>0</v>
      </c>
      <c r="BG320" s="426">
        <v>0</v>
      </c>
      <c r="BH320" s="426">
        <v>0</v>
      </c>
      <c r="BI320" s="426">
        <v>0</v>
      </c>
      <c r="BJ320" s="426">
        <v>0</v>
      </c>
      <c r="BK320" s="426" t="s">
        <v>792</v>
      </c>
      <c r="BL320" s="91" t="s">
        <v>792</v>
      </c>
      <c r="BM320" s="426"/>
      <c r="BN320" s="426"/>
      <c r="BO320" s="91" t="s">
        <v>792</v>
      </c>
      <c r="BP320" s="426"/>
      <c r="BQ320" s="426"/>
      <c r="BR320" s="426"/>
    </row>
    <row r="321" spans="2:70" ht="14.7" customHeight="1" outlineLevel="1" x14ac:dyDescent="0.3">
      <c r="B321" s="425">
        <f t="shared" si="8"/>
        <v>31</v>
      </c>
      <c r="C321" s="95" t="s">
        <v>191</v>
      </c>
      <c r="D321" s="429" t="s">
        <v>1039</v>
      </c>
      <c r="E321" s="429" t="s">
        <v>791</v>
      </c>
      <c r="F321" s="91">
        <v>343.97</v>
      </c>
      <c r="G321" s="486">
        <v>398.99520000000001</v>
      </c>
      <c r="H321" s="91"/>
      <c r="I321" s="91"/>
      <c r="J321" s="91"/>
      <c r="K321" s="91"/>
      <c r="L321" s="91"/>
      <c r="M321" s="91"/>
      <c r="N321" s="91"/>
      <c r="O321" s="91" t="s">
        <v>959</v>
      </c>
      <c r="P321" s="91" t="s">
        <v>933</v>
      </c>
      <c r="Q321" s="457" t="s">
        <v>793</v>
      </c>
      <c r="R321" s="91">
        <v>6</v>
      </c>
      <c r="S321" s="91">
        <v>150</v>
      </c>
      <c r="T321" s="91">
        <f>+S321</f>
        <v>150</v>
      </c>
      <c r="U321" s="91" t="s">
        <v>792</v>
      </c>
      <c r="V321" s="91"/>
      <c r="W321" s="91"/>
      <c r="X321" s="91" t="s">
        <v>792</v>
      </c>
      <c r="Y321" s="91"/>
      <c r="Z321" s="91"/>
      <c r="AA321" s="91" t="s">
        <v>792</v>
      </c>
      <c r="AB321" s="91"/>
      <c r="AC321" s="91"/>
      <c r="AD321" s="91" t="s">
        <v>792</v>
      </c>
      <c r="AE321" s="91"/>
      <c r="AF321" s="91"/>
      <c r="AG321" s="91" t="s">
        <v>922</v>
      </c>
      <c r="AH321" s="91"/>
      <c r="AI321" s="91"/>
      <c r="AJ321" s="91" t="s">
        <v>936</v>
      </c>
      <c r="AK321" s="91"/>
      <c r="AL321" s="91" t="s">
        <v>937</v>
      </c>
      <c r="AM321" s="91"/>
      <c r="AN321" s="91" t="s">
        <v>938</v>
      </c>
      <c r="AO321" s="91"/>
      <c r="AP321" s="91"/>
      <c r="AQ321" s="91"/>
      <c r="AR321" s="91"/>
      <c r="AS321" s="91"/>
      <c r="AT321" s="91"/>
      <c r="AU321" s="91" t="s">
        <v>926</v>
      </c>
      <c r="AV321" s="91"/>
      <c r="AW321" s="91"/>
      <c r="AX321" s="91"/>
      <c r="AY321" s="91"/>
      <c r="AZ321" s="91"/>
      <c r="BA321" s="91" t="s">
        <v>792</v>
      </c>
      <c r="BB321" s="426"/>
      <c r="BC321" s="426"/>
      <c r="BD321" s="91" t="s">
        <v>792</v>
      </c>
      <c r="BE321" s="91" t="s">
        <v>927</v>
      </c>
      <c r="BF321" s="426">
        <v>0</v>
      </c>
      <c r="BG321" s="426">
        <v>0</v>
      </c>
      <c r="BH321" s="426">
        <v>0</v>
      </c>
      <c r="BI321" s="426">
        <v>0</v>
      </c>
      <c r="BJ321" s="426">
        <v>0</v>
      </c>
      <c r="BK321" s="426" t="s">
        <v>792</v>
      </c>
      <c r="BL321" s="91" t="s">
        <v>792</v>
      </c>
      <c r="BM321" s="426"/>
      <c r="BN321" s="426"/>
      <c r="BO321" s="91" t="s">
        <v>792</v>
      </c>
      <c r="BP321" s="426"/>
      <c r="BQ321" s="426"/>
      <c r="BR321" s="426"/>
    </row>
    <row r="322" spans="2:70" ht="14.7" customHeight="1" outlineLevel="1" x14ac:dyDescent="0.3">
      <c r="B322" s="425">
        <f t="shared" si="8"/>
        <v>32</v>
      </c>
      <c r="C322" s="95" t="s">
        <v>192</v>
      </c>
      <c r="D322" s="429" t="s">
        <v>1039</v>
      </c>
      <c r="E322" s="429" t="s">
        <v>791</v>
      </c>
      <c r="F322" s="91">
        <v>387.07</v>
      </c>
      <c r="G322" s="486">
        <v>449</v>
      </c>
      <c r="H322" s="91"/>
      <c r="I322" s="91"/>
      <c r="J322" s="91"/>
      <c r="K322" s="91"/>
      <c r="L322" s="91"/>
      <c r="M322" s="91"/>
      <c r="N322" s="91"/>
      <c r="O322" s="91" t="s">
        <v>930</v>
      </c>
      <c r="P322" s="91" t="s">
        <v>933</v>
      </c>
      <c r="Q322" s="457" t="s">
        <v>792</v>
      </c>
      <c r="R322" s="91"/>
      <c r="S322" s="91"/>
      <c r="T322" s="91"/>
      <c r="U322" s="91" t="s">
        <v>792</v>
      </c>
      <c r="V322" s="91"/>
      <c r="W322" s="91"/>
      <c r="X322" s="91" t="s">
        <v>792</v>
      </c>
      <c r="Y322" s="91"/>
      <c r="Z322" s="91"/>
      <c r="AA322" s="91" t="s">
        <v>792</v>
      </c>
      <c r="AB322" s="91"/>
      <c r="AC322" s="91"/>
      <c r="AD322" s="91" t="s">
        <v>792</v>
      </c>
      <c r="AE322" s="91"/>
      <c r="AF322" s="91"/>
      <c r="AG322" s="91" t="s">
        <v>922</v>
      </c>
      <c r="AH322" s="91"/>
      <c r="AI322" s="91"/>
      <c r="AJ322" s="91" t="s">
        <v>936</v>
      </c>
      <c r="AK322" s="91"/>
      <c r="AL322" s="91" t="s">
        <v>937</v>
      </c>
      <c r="AM322" s="91"/>
      <c r="AN322" s="91" t="s">
        <v>938</v>
      </c>
      <c r="AO322" s="91"/>
      <c r="AP322" s="91"/>
      <c r="AQ322" s="91"/>
      <c r="AR322" s="91"/>
      <c r="AS322" s="91"/>
      <c r="AT322" s="91"/>
      <c r="AU322" s="91" t="s">
        <v>926</v>
      </c>
      <c r="AV322" s="91"/>
      <c r="AW322" s="91"/>
      <c r="AX322" s="91"/>
      <c r="AY322" s="91"/>
      <c r="AZ322" s="91"/>
      <c r="BA322" s="91" t="s">
        <v>792</v>
      </c>
      <c r="BB322" s="426"/>
      <c r="BC322" s="426"/>
      <c r="BD322" s="91" t="s">
        <v>792</v>
      </c>
      <c r="BE322" s="91" t="s">
        <v>927</v>
      </c>
      <c r="BF322" s="426">
        <v>0</v>
      </c>
      <c r="BG322" s="426">
        <v>0</v>
      </c>
      <c r="BH322" s="426">
        <v>0</v>
      </c>
      <c r="BI322" s="426">
        <v>0</v>
      </c>
      <c r="BJ322" s="426">
        <v>0</v>
      </c>
      <c r="BK322" s="426" t="s">
        <v>792</v>
      </c>
      <c r="BL322" s="91" t="s">
        <v>792</v>
      </c>
      <c r="BM322" s="426"/>
      <c r="BN322" s="426"/>
      <c r="BO322" s="91" t="s">
        <v>792</v>
      </c>
      <c r="BP322" s="426"/>
      <c r="BQ322" s="426"/>
      <c r="BR322" s="426"/>
    </row>
    <row r="323" spans="2:70" ht="14.7" customHeight="1" outlineLevel="1" x14ac:dyDescent="0.3">
      <c r="B323" s="498">
        <f t="shared" si="8"/>
        <v>33</v>
      </c>
      <c r="C323" s="95" t="s">
        <v>1040</v>
      </c>
      <c r="D323" s="429" t="s">
        <v>1039</v>
      </c>
      <c r="E323" s="429" t="s">
        <v>791</v>
      </c>
      <c r="F323" s="91">
        <v>430.17</v>
      </c>
      <c r="G323" s="486">
        <v>499</v>
      </c>
      <c r="H323" s="91"/>
      <c r="I323" s="91"/>
      <c r="J323" s="91"/>
      <c r="K323" s="91"/>
      <c r="L323" s="91"/>
      <c r="M323" s="91"/>
      <c r="N323" s="91"/>
      <c r="O323" s="91" t="s">
        <v>1051</v>
      </c>
      <c r="P323" s="91" t="s">
        <v>1051</v>
      </c>
      <c r="Q323" s="457" t="s">
        <v>792</v>
      </c>
      <c r="R323" s="91"/>
      <c r="S323" s="91"/>
      <c r="T323" s="91"/>
      <c r="U323" s="91" t="s">
        <v>792</v>
      </c>
      <c r="V323" s="91"/>
      <c r="W323" s="91"/>
      <c r="X323" s="91" t="s">
        <v>792</v>
      </c>
      <c r="Y323" s="91"/>
      <c r="Z323" s="91"/>
      <c r="AA323" s="91" t="s">
        <v>792</v>
      </c>
      <c r="AB323" s="91"/>
      <c r="AC323" s="91"/>
      <c r="AD323" s="91" t="s">
        <v>792</v>
      </c>
      <c r="AE323" s="91"/>
      <c r="AF323" s="91"/>
      <c r="AG323" s="91" t="s">
        <v>922</v>
      </c>
      <c r="AH323" s="91"/>
      <c r="AI323" s="91"/>
      <c r="AJ323" s="91" t="s">
        <v>923</v>
      </c>
      <c r="AK323" s="91"/>
      <c r="AL323" s="91" t="s">
        <v>924</v>
      </c>
      <c r="AM323" s="91" t="s">
        <v>925</v>
      </c>
      <c r="AN323" s="91"/>
      <c r="AO323" s="91"/>
      <c r="AP323" s="91"/>
      <c r="AQ323" s="91"/>
      <c r="AR323" s="91"/>
      <c r="AS323" s="91"/>
      <c r="AT323" s="91"/>
      <c r="AU323" s="91" t="s">
        <v>926</v>
      </c>
      <c r="AV323" s="91"/>
      <c r="AW323" s="91"/>
      <c r="AX323" s="91"/>
      <c r="AY323" s="91"/>
      <c r="AZ323" s="91"/>
      <c r="BA323" s="91" t="s">
        <v>792</v>
      </c>
      <c r="BB323" s="426"/>
      <c r="BC323" s="426"/>
      <c r="BD323" s="91" t="s">
        <v>792</v>
      </c>
      <c r="BE323" s="91" t="s">
        <v>927</v>
      </c>
      <c r="BF323" s="426">
        <v>0</v>
      </c>
      <c r="BG323" s="426">
        <v>0</v>
      </c>
      <c r="BH323" s="426">
        <v>0</v>
      </c>
      <c r="BI323" s="426">
        <v>0</v>
      </c>
      <c r="BJ323" s="426">
        <v>0</v>
      </c>
      <c r="BK323" s="426" t="s">
        <v>792</v>
      </c>
      <c r="BL323" s="91" t="s">
        <v>792</v>
      </c>
      <c r="BM323" s="426"/>
      <c r="BN323" s="426"/>
      <c r="BO323" s="91" t="s">
        <v>792</v>
      </c>
      <c r="BP323" s="426"/>
      <c r="BQ323" s="426"/>
      <c r="BR323" s="426"/>
    </row>
    <row r="324" spans="2:70" ht="14.7" customHeight="1" outlineLevel="1" x14ac:dyDescent="0.3">
      <c r="B324" s="425">
        <f t="shared" si="8"/>
        <v>34</v>
      </c>
      <c r="C324" s="95" t="s">
        <v>193</v>
      </c>
      <c r="D324" s="429" t="s">
        <v>1039</v>
      </c>
      <c r="E324" s="429" t="s">
        <v>791</v>
      </c>
      <c r="F324" s="91">
        <v>473.28</v>
      </c>
      <c r="G324" s="486">
        <v>549</v>
      </c>
      <c r="H324" s="91"/>
      <c r="I324" s="91"/>
      <c r="J324" s="91"/>
      <c r="K324" s="91"/>
      <c r="L324" s="91"/>
      <c r="M324" s="91"/>
      <c r="N324" s="91"/>
      <c r="O324" s="91" t="s">
        <v>932</v>
      </c>
      <c r="P324" s="91" t="s">
        <v>919</v>
      </c>
      <c r="Q324" s="457" t="s">
        <v>792</v>
      </c>
      <c r="R324" s="91"/>
      <c r="S324" s="91"/>
      <c r="T324" s="91"/>
      <c r="U324" s="91" t="s">
        <v>792</v>
      </c>
      <c r="V324" s="91"/>
      <c r="W324" s="91"/>
      <c r="X324" s="91" t="s">
        <v>792</v>
      </c>
      <c r="Y324" s="91"/>
      <c r="Z324" s="91"/>
      <c r="AA324" s="91" t="s">
        <v>792</v>
      </c>
      <c r="AB324" s="91"/>
      <c r="AC324" s="91"/>
      <c r="AD324" s="91" t="s">
        <v>792</v>
      </c>
      <c r="AE324" s="91"/>
      <c r="AF324" s="91"/>
      <c r="AG324" s="91" t="s">
        <v>922</v>
      </c>
      <c r="AH324" s="91"/>
      <c r="AI324" s="91"/>
      <c r="AJ324" s="91" t="s">
        <v>936</v>
      </c>
      <c r="AK324" s="91"/>
      <c r="AL324" s="91" t="s">
        <v>937</v>
      </c>
      <c r="AM324" s="91"/>
      <c r="AN324" s="91" t="s">
        <v>938</v>
      </c>
      <c r="AO324" s="91"/>
      <c r="AP324" s="91"/>
      <c r="AQ324" s="91"/>
      <c r="AR324" s="91"/>
      <c r="AS324" s="91"/>
      <c r="AT324" s="91"/>
      <c r="AU324" s="91" t="s">
        <v>926</v>
      </c>
      <c r="AV324" s="91"/>
      <c r="AW324" s="91"/>
      <c r="AX324" s="91"/>
      <c r="AY324" s="91"/>
      <c r="AZ324" s="91"/>
      <c r="BA324" s="91" t="s">
        <v>792</v>
      </c>
      <c r="BB324" s="426"/>
      <c r="BC324" s="426"/>
      <c r="BD324" s="91" t="s">
        <v>792</v>
      </c>
      <c r="BE324" s="91" t="s">
        <v>927</v>
      </c>
      <c r="BF324" s="426">
        <v>0</v>
      </c>
      <c r="BG324" s="426">
        <v>0</v>
      </c>
      <c r="BH324" s="426">
        <v>0</v>
      </c>
      <c r="BI324" s="426">
        <v>0</v>
      </c>
      <c r="BJ324" s="426">
        <v>0</v>
      </c>
      <c r="BK324" s="426" t="s">
        <v>792</v>
      </c>
      <c r="BL324" s="91" t="s">
        <v>792</v>
      </c>
      <c r="BM324" s="426"/>
      <c r="BN324" s="426"/>
      <c r="BO324" s="91" t="s">
        <v>792</v>
      </c>
      <c r="BP324" s="426"/>
      <c r="BQ324" s="426"/>
      <c r="BR324" s="426"/>
    </row>
    <row r="325" spans="2:70" ht="14.7" customHeight="1" outlineLevel="1" x14ac:dyDescent="0.3">
      <c r="B325" s="498">
        <f t="shared" si="8"/>
        <v>35</v>
      </c>
      <c r="C325" s="95" t="s">
        <v>1041</v>
      </c>
      <c r="D325" s="429" t="s">
        <v>1039</v>
      </c>
      <c r="E325" s="429" t="s">
        <v>791</v>
      </c>
      <c r="F325" s="91">
        <v>559.48</v>
      </c>
      <c r="G325" s="486">
        <v>649</v>
      </c>
      <c r="H325" s="91"/>
      <c r="I325" s="91"/>
      <c r="J325" s="91"/>
      <c r="K325" s="91"/>
      <c r="L325" s="91"/>
      <c r="M325" s="91"/>
      <c r="N325" s="91"/>
      <c r="O325" s="91" t="s">
        <v>928</v>
      </c>
      <c r="P325" s="91" t="s">
        <v>1050</v>
      </c>
      <c r="Q325" s="457" t="s">
        <v>792</v>
      </c>
      <c r="R325" s="91"/>
      <c r="S325" s="91"/>
      <c r="T325" s="91"/>
      <c r="U325" s="91" t="s">
        <v>792</v>
      </c>
      <c r="V325" s="91"/>
      <c r="W325" s="91"/>
      <c r="X325" s="91" t="s">
        <v>792</v>
      </c>
      <c r="Y325" s="91"/>
      <c r="Z325" s="91"/>
      <c r="AA325" s="91" t="s">
        <v>792</v>
      </c>
      <c r="AB325" s="91"/>
      <c r="AC325" s="91"/>
      <c r="AD325" s="91" t="s">
        <v>792</v>
      </c>
      <c r="AE325" s="91"/>
      <c r="AF325" s="91"/>
      <c r="AG325" s="91" t="s">
        <v>922</v>
      </c>
      <c r="AH325" s="91"/>
      <c r="AI325" s="91"/>
      <c r="AJ325" s="91" t="s">
        <v>923</v>
      </c>
      <c r="AK325" s="91"/>
      <c r="AL325" s="91" t="s">
        <v>924</v>
      </c>
      <c r="AM325" s="91" t="s">
        <v>925</v>
      </c>
      <c r="AN325" s="91"/>
      <c r="AO325" s="91"/>
      <c r="AP325" s="91"/>
      <c r="AQ325" s="91"/>
      <c r="AR325" s="91"/>
      <c r="AS325" s="91"/>
      <c r="AT325" s="91"/>
      <c r="AU325" s="91" t="s">
        <v>926</v>
      </c>
      <c r="AV325" s="91"/>
      <c r="AW325" s="91"/>
      <c r="AX325" s="91"/>
      <c r="AY325" s="91"/>
      <c r="AZ325" s="91"/>
      <c r="BA325" s="91" t="s">
        <v>792</v>
      </c>
      <c r="BB325" s="426"/>
      <c r="BC325" s="426"/>
      <c r="BD325" s="91" t="s">
        <v>792</v>
      </c>
      <c r="BE325" s="91" t="s">
        <v>927</v>
      </c>
      <c r="BF325" s="426">
        <v>0</v>
      </c>
      <c r="BG325" s="426">
        <v>0</v>
      </c>
      <c r="BH325" s="426">
        <v>0</v>
      </c>
      <c r="BI325" s="426">
        <v>0</v>
      </c>
      <c r="BJ325" s="426">
        <v>0</v>
      </c>
      <c r="BK325" s="426" t="s">
        <v>792</v>
      </c>
      <c r="BL325" s="91" t="s">
        <v>792</v>
      </c>
      <c r="BM325" s="426"/>
      <c r="BN325" s="426"/>
      <c r="BO325" s="91" t="s">
        <v>792</v>
      </c>
      <c r="BP325" s="426"/>
      <c r="BQ325" s="426"/>
      <c r="BR325" s="426"/>
    </row>
    <row r="326" spans="2:70" ht="14.7" customHeight="1" outlineLevel="1" x14ac:dyDescent="0.3">
      <c r="B326" s="425">
        <f t="shared" si="8"/>
        <v>36</v>
      </c>
      <c r="C326" s="95" t="s">
        <v>195</v>
      </c>
      <c r="D326" s="429" t="s">
        <v>1039</v>
      </c>
      <c r="E326" s="429" t="s">
        <v>791</v>
      </c>
      <c r="F326" s="91">
        <v>775</v>
      </c>
      <c r="G326" s="486">
        <v>898.99999999999989</v>
      </c>
      <c r="H326" s="91"/>
      <c r="I326" s="91"/>
      <c r="J326" s="91"/>
      <c r="K326" s="91"/>
      <c r="L326" s="91"/>
      <c r="M326" s="91"/>
      <c r="N326" s="91"/>
      <c r="O326" s="91" t="s">
        <v>961</v>
      </c>
      <c r="P326" s="91" t="s">
        <v>960</v>
      </c>
      <c r="Q326" s="457" t="s">
        <v>792</v>
      </c>
      <c r="R326" s="91"/>
      <c r="S326" s="91"/>
      <c r="T326" s="91"/>
      <c r="U326" s="91" t="s">
        <v>792</v>
      </c>
      <c r="V326" s="91"/>
      <c r="W326" s="91"/>
      <c r="X326" s="91" t="s">
        <v>792</v>
      </c>
      <c r="Y326" s="91"/>
      <c r="Z326" s="91"/>
      <c r="AA326" s="91" t="s">
        <v>792</v>
      </c>
      <c r="AB326" s="91"/>
      <c r="AC326" s="91"/>
      <c r="AD326" s="91" t="s">
        <v>792</v>
      </c>
      <c r="AE326" s="91"/>
      <c r="AF326" s="91"/>
      <c r="AG326" s="91" t="s">
        <v>922</v>
      </c>
      <c r="AH326" s="91"/>
      <c r="AI326" s="91"/>
      <c r="AJ326" s="91" t="s">
        <v>936</v>
      </c>
      <c r="AK326" s="91"/>
      <c r="AL326" s="91" t="s">
        <v>937</v>
      </c>
      <c r="AM326" s="91"/>
      <c r="AN326" s="91" t="s">
        <v>938</v>
      </c>
      <c r="AO326" s="91"/>
      <c r="AP326" s="91"/>
      <c r="AQ326" s="91"/>
      <c r="AR326" s="91"/>
      <c r="AS326" s="91"/>
      <c r="AT326" s="91"/>
      <c r="AU326" s="91" t="s">
        <v>926</v>
      </c>
      <c r="AV326" s="91"/>
      <c r="AW326" s="91"/>
      <c r="AX326" s="91"/>
      <c r="AY326" s="91"/>
      <c r="AZ326" s="91"/>
      <c r="BA326" s="91" t="s">
        <v>792</v>
      </c>
      <c r="BB326" s="426"/>
      <c r="BC326" s="426"/>
      <c r="BD326" s="91" t="s">
        <v>792</v>
      </c>
      <c r="BE326" s="91" t="s">
        <v>927</v>
      </c>
      <c r="BF326" s="426">
        <v>0</v>
      </c>
      <c r="BG326" s="426">
        <v>0</v>
      </c>
      <c r="BH326" s="426">
        <v>0</v>
      </c>
      <c r="BI326" s="426">
        <v>0</v>
      </c>
      <c r="BJ326" s="426">
        <v>0</v>
      </c>
      <c r="BK326" s="426" t="s">
        <v>792</v>
      </c>
      <c r="BL326" s="91" t="s">
        <v>792</v>
      </c>
      <c r="BM326" s="426"/>
      <c r="BN326" s="426"/>
      <c r="BO326" s="91" t="s">
        <v>792</v>
      </c>
      <c r="BP326" s="426"/>
      <c r="BQ326" s="426"/>
      <c r="BR326" s="426"/>
    </row>
    <row r="327" spans="2:70" ht="14.7" customHeight="1" outlineLevel="1" x14ac:dyDescent="0.3">
      <c r="B327" s="425">
        <f t="shared" si="8"/>
        <v>37</v>
      </c>
      <c r="C327" s="95" t="s">
        <v>197</v>
      </c>
      <c r="D327" s="429" t="s">
        <v>351</v>
      </c>
      <c r="E327" s="429" t="s">
        <v>791</v>
      </c>
      <c r="F327" s="91">
        <v>349</v>
      </c>
      <c r="G327" s="486">
        <v>404.84</v>
      </c>
      <c r="H327" s="91"/>
      <c r="I327" s="91"/>
      <c r="J327" s="91"/>
      <c r="K327" s="91"/>
      <c r="L327" s="91"/>
      <c r="M327" s="91"/>
      <c r="N327" s="91"/>
      <c r="O327" s="91" t="s">
        <v>934</v>
      </c>
      <c r="P327" s="91" t="s">
        <v>953</v>
      </c>
      <c r="Q327" s="457" t="s">
        <v>792</v>
      </c>
      <c r="R327" s="91"/>
      <c r="S327" s="91"/>
      <c r="T327" s="91"/>
      <c r="U327" s="91" t="s">
        <v>792</v>
      </c>
      <c r="V327" s="91"/>
      <c r="W327" s="91"/>
      <c r="X327" s="91" t="s">
        <v>792</v>
      </c>
      <c r="Y327" s="91"/>
      <c r="Z327" s="91"/>
      <c r="AA327" s="91" t="s">
        <v>792</v>
      </c>
      <c r="AB327" s="91"/>
      <c r="AC327" s="91"/>
      <c r="AD327" s="91" t="s">
        <v>792</v>
      </c>
      <c r="AE327" s="91"/>
      <c r="AF327" s="91"/>
      <c r="AG327" s="91" t="s">
        <v>922</v>
      </c>
      <c r="AH327" s="91"/>
      <c r="AI327" s="91"/>
      <c r="AJ327" s="91"/>
      <c r="AK327" s="91"/>
      <c r="AL327" s="91"/>
      <c r="AM327" s="91"/>
      <c r="AN327" s="91"/>
      <c r="AO327" s="91"/>
      <c r="AP327" s="91"/>
      <c r="AQ327" s="91"/>
      <c r="AR327" s="91"/>
      <c r="AS327" s="91"/>
      <c r="AT327" s="91"/>
      <c r="AU327" s="91"/>
      <c r="AV327" s="91"/>
      <c r="AW327" s="91"/>
      <c r="AX327" s="91"/>
      <c r="AY327" s="91"/>
      <c r="AZ327" s="91"/>
      <c r="BA327" s="91" t="s">
        <v>792</v>
      </c>
      <c r="BB327" s="426"/>
      <c r="BC327" s="426"/>
      <c r="BD327" s="91" t="s">
        <v>792</v>
      </c>
      <c r="BE327" s="91" t="s">
        <v>927</v>
      </c>
      <c r="BF327" s="426">
        <v>0</v>
      </c>
      <c r="BG327" s="426">
        <v>0</v>
      </c>
      <c r="BH327" s="426">
        <v>0</v>
      </c>
      <c r="BI327" s="426">
        <v>0</v>
      </c>
      <c r="BJ327" s="426">
        <v>0</v>
      </c>
      <c r="BK327" s="426" t="s">
        <v>792</v>
      </c>
      <c r="BL327" s="91" t="s">
        <v>792</v>
      </c>
      <c r="BM327" s="426"/>
      <c r="BN327" s="426"/>
      <c r="BO327" s="91" t="s">
        <v>792</v>
      </c>
      <c r="BP327" s="426"/>
      <c r="BQ327" s="426"/>
      <c r="BR327" s="426"/>
    </row>
    <row r="328" spans="2:70" ht="14.7" customHeight="1" outlineLevel="1" x14ac:dyDescent="0.3">
      <c r="B328" s="425">
        <f t="shared" si="8"/>
        <v>38</v>
      </c>
      <c r="C328" s="95" t="s">
        <v>199</v>
      </c>
      <c r="D328" s="429" t="s">
        <v>351</v>
      </c>
      <c r="E328" s="429" t="s">
        <v>791</v>
      </c>
      <c r="F328" s="91">
        <v>608.69000000000005</v>
      </c>
      <c r="G328" s="486">
        <v>706.08</v>
      </c>
      <c r="H328" s="91"/>
      <c r="I328" s="91"/>
      <c r="J328" s="91"/>
      <c r="K328" s="91"/>
      <c r="L328" s="91"/>
      <c r="M328" s="91"/>
      <c r="N328" s="91"/>
      <c r="O328" s="91" t="s">
        <v>919</v>
      </c>
      <c r="P328" s="91" t="s">
        <v>953</v>
      </c>
      <c r="Q328" s="457" t="s">
        <v>792</v>
      </c>
      <c r="R328" s="91"/>
      <c r="S328" s="91"/>
      <c r="T328" s="91"/>
      <c r="U328" s="91" t="s">
        <v>792</v>
      </c>
      <c r="V328" s="91"/>
      <c r="W328" s="91"/>
      <c r="X328" s="91" t="s">
        <v>792</v>
      </c>
      <c r="Y328" s="91"/>
      <c r="Z328" s="91"/>
      <c r="AA328" s="91" t="s">
        <v>792</v>
      </c>
      <c r="AB328" s="91"/>
      <c r="AC328" s="91"/>
      <c r="AD328" s="91" t="s">
        <v>792</v>
      </c>
      <c r="AE328" s="91"/>
      <c r="AF328" s="91"/>
      <c r="AG328" s="91" t="s">
        <v>922</v>
      </c>
      <c r="AH328" s="91"/>
      <c r="AI328" s="91"/>
      <c r="AJ328" s="91"/>
      <c r="AK328" s="91"/>
      <c r="AL328" s="91"/>
      <c r="AM328" s="91"/>
      <c r="AN328" s="91"/>
      <c r="AO328" s="91"/>
      <c r="AP328" s="91"/>
      <c r="AQ328" s="91"/>
      <c r="AR328" s="91"/>
      <c r="AS328" s="91"/>
      <c r="AT328" s="91"/>
      <c r="AU328" s="91"/>
      <c r="AV328" s="91"/>
      <c r="AW328" s="91"/>
      <c r="AX328" s="91"/>
      <c r="AY328" s="91"/>
      <c r="AZ328" s="91"/>
      <c r="BA328" s="91" t="s">
        <v>792</v>
      </c>
      <c r="BB328" s="426"/>
      <c r="BC328" s="426"/>
      <c r="BD328" s="91" t="s">
        <v>792</v>
      </c>
      <c r="BE328" s="91" t="s">
        <v>927</v>
      </c>
      <c r="BF328" s="426">
        <v>0</v>
      </c>
      <c r="BG328" s="426">
        <v>0</v>
      </c>
      <c r="BH328" s="426">
        <v>0</v>
      </c>
      <c r="BI328" s="426">
        <v>0</v>
      </c>
      <c r="BJ328" s="426">
        <v>0</v>
      </c>
      <c r="BK328" s="426" t="s">
        <v>792</v>
      </c>
      <c r="BL328" s="91" t="s">
        <v>792</v>
      </c>
      <c r="BM328" s="426"/>
      <c r="BN328" s="426"/>
      <c r="BO328" s="91" t="s">
        <v>792</v>
      </c>
      <c r="BP328" s="426"/>
      <c r="BQ328" s="426"/>
      <c r="BR328" s="426"/>
    </row>
    <row r="329" spans="2:70" ht="14.7" customHeight="1" outlineLevel="1" x14ac:dyDescent="0.3">
      <c r="B329" s="425">
        <f t="shared" si="8"/>
        <v>39</v>
      </c>
      <c r="C329" s="95" t="s">
        <v>201</v>
      </c>
      <c r="D329" s="429" t="s">
        <v>351</v>
      </c>
      <c r="E329" s="429" t="s">
        <v>791</v>
      </c>
      <c r="F329" s="91">
        <v>1042.5999999999999</v>
      </c>
      <c r="G329" s="486">
        <v>1209.42</v>
      </c>
      <c r="H329" s="91"/>
      <c r="I329" s="91"/>
      <c r="J329" s="91"/>
      <c r="K329" s="91"/>
      <c r="L329" s="91"/>
      <c r="M329" s="91"/>
      <c r="N329" s="91"/>
      <c r="O329" s="91" t="s">
        <v>930</v>
      </c>
      <c r="P329" s="91" t="s">
        <v>953</v>
      </c>
      <c r="Q329" s="457" t="s">
        <v>792</v>
      </c>
      <c r="R329" s="91"/>
      <c r="S329" s="91"/>
      <c r="T329" s="91"/>
      <c r="U329" s="91" t="s">
        <v>792</v>
      </c>
      <c r="V329" s="91"/>
      <c r="W329" s="91"/>
      <c r="X329" s="91" t="s">
        <v>792</v>
      </c>
      <c r="Y329" s="91"/>
      <c r="Z329" s="91"/>
      <c r="AA329" s="91" t="s">
        <v>792</v>
      </c>
      <c r="AB329" s="91"/>
      <c r="AC329" s="91"/>
      <c r="AD329" s="91" t="s">
        <v>792</v>
      </c>
      <c r="AE329" s="91"/>
      <c r="AF329" s="91"/>
      <c r="AG329" s="91" t="s">
        <v>922</v>
      </c>
      <c r="AH329" s="91"/>
      <c r="AI329" s="91"/>
      <c r="AJ329" s="91"/>
      <c r="AK329" s="91"/>
      <c r="AL329" s="91"/>
      <c r="AM329" s="91"/>
      <c r="AN329" s="91"/>
      <c r="AO329" s="91"/>
      <c r="AP329" s="91"/>
      <c r="AQ329" s="91"/>
      <c r="AR329" s="91"/>
      <c r="AS329" s="91"/>
      <c r="AT329" s="91"/>
      <c r="AU329" s="91"/>
      <c r="AV329" s="91"/>
      <c r="AW329" s="91"/>
      <c r="AX329" s="91"/>
      <c r="AY329" s="91"/>
      <c r="AZ329" s="91"/>
      <c r="BA329" s="91" t="s">
        <v>792</v>
      </c>
      <c r="BB329" s="426"/>
      <c r="BC329" s="426"/>
      <c r="BD329" s="91" t="s">
        <v>792</v>
      </c>
      <c r="BE329" s="91" t="s">
        <v>927</v>
      </c>
      <c r="BF329" s="426">
        <v>0</v>
      </c>
      <c r="BG329" s="426">
        <v>0</v>
      </c>
      <c r="BH329" s="426">
        <v>0</v>
      </c>
      <c r="BI329" s="426">
        <v>0</v>
      </c>
      <c r="BJ329" s="426">
        <v>0</v>
      </c>
      <c r="BK329" s="426" t="s">
        <v>792</v>
      </c>
      <c r="BL329" s="91" t="s">
        <v>792</v>
      </c>
      <c r="BM329" s="426"/>
      <c r="BN329" s="426"/>
      <c r="BO329" s="91" t="s">
        <v>792</v>
      </c>
      <c r="BP329" s="426"/>
      <c r="BQ329" s="426"/>
      <c r="BR329" s="426"/>
    </row>
    <row r="330" spans="2:70" ht="14.7" customHeight="1" outlineLevel="1" x14ac:dyDescent="0.3">
      <c r="B330" s="425">
        <f t="shared" si="8"/>
        <v>40</v>
      </c>
      <c r="C330" s="95" t="s">
        <v>494</v>
      </c>
      <c r="D330" s="429" t="s">
        <v>351</v>
      </c>
      <c r="E330" s="429" t="s">
        <v>794</v>
      </c>
      <c r="F330" s="91">
        <v>509.31</v>
      </c>
      <c r="G330" s="486">
        <v>599</v>
      </c>
      <c r="H330" s="91">
        <v>1</v>
      </c>
      <c r="I330" s="91" t="s">
        <v>941</v>
      </c>
      <c r="J330" s="91" t="s">
        <v>942</v>
      </c>
      <c r="K330" s="91" t="s">
        <v>942</v>
      </c>
      <c r="L330" s="91" t="s">
        <v>942</v>
      </c>
      <c r="M330" s="91">
        <v>5</v>
      </c>
      <c r="N330" s="91" t="s">
        <v>943</v>
      </c>
      <c r="O330" s="91" t="s">
        <v>929</v>
      </c>
      <c r="P330" s="91" t="s">
        <v>929</v>
      </c>
      <c r="Q330" s="457" t="s">
        <v>792</v>
      </c>
      <c r="R330" s="91"/>
      <c r="S330" s="91"/>
      <c r="T330" s="91"/>
      <c r="U330" s="91" t="s">
        <v>792</v>
      </c>
      <c r="V330" s="91"/>
      <c r="W330" s="91"/>
      <c r="X330" s="91" t="s">
        <v>792</v>
      </c>
      <c r="Y330" s="91"/>
      <c r="Z330" s="91"/>
      <c r="AA330" s="91" t="s">
        <v>792</v>
      </c>
      <c r="AB330" s="91"/>
      <c r="AC330" s="91"/>
      <c r="AD330" s="91" t="s">
        <v>792</v>
      </c>
      <c r="AE330" s="91"/>
      <c r="AF330" s="91"/>
      <c r="AG330" s="91" t="s">
        <v>922</v>
      </c>
      <c r="AH330" s="91"/>
      <c r="AI330" s="91"/>
      <c r="AJ330" s="91" t="s">
        <v>936</v>
      </c>
      <c r="AK330" s="91"/>
      <c r="AL330" s="91" t="s">
        <v>937</v>
      </c>
      <c r="AM330" s="91"/>
      <c r="AN330" s="91" t="s">
        <v>938</v>
      </c>
      <c r="AO330" s="91" t="s">
        <v>945</v>
      </c>
      <c r="AP330" s="91" t="s">
        <v>946</v>
      </c>
      <c r="AQ330" s="91"/>
      <c r="AR330" s="91" t="s">
        <v>948</v>
      </c>
      <c r="AS330" s="91"/>
      <c r="AT330" s="91" t="s">
        <v>949</v>
      </c>
      <c r="AU330" s="91" t="s">
        <v>926</v>
      </c>
      <c r="AV330" s="91"/>
      <c r="AW330" s="91"/>
      <c r="AX330" s="91"/>
      <c r="AY330" s="91"/>
      <c r="AZ330" s="91"/>
      <c r="BA330" s="91" t="s">
        <v>792</v>
      </c>
      <c r="BB330" s="426"/>
      <c r="BC330" s="426"/>
      <c r="BD330" s="91" t="s">
        <v>792</v>
      </c>
      <c r="BE330" s="91" t="s">
        <v>927</v>
      </c>
      <c r="BF330" s="426">
        <v>0</v>
      </c>
      <c r="BG330" s="426">
        <v>0</v>
      </c>
      <c r="BH330" s="426">
        <v>0</v>
      </c>
      <c r="BI330" s="426">
        <v>0</v>
      </c>
      <c r="BJ330" s="426">
        <v>0</v>
      </c>
      <c r="BK330" s="426" t="s">
        <v>792</v>
      </c>
      <c r="BL330" s="91" t="s">
        <v>792</v>
      </c>
      <c r="BM330" s="426"/>
      <c r="BN330" s="426"/>
      <c r="BO330" s="91" t="s">
        <v>792</v>
      </c>
      <c r="BP330" s="426"/>
      <c r="BQ330" s="426"/>
      <c r="BR330" s="426"/>
    </row>
    <row r="331" spans="2:70" ht="14.7" customHeight="1" outlineLevel="1" x14ac:dyDescent="0.3">
      <c r="B331" s="425">
        <f t="shared" si="8"/>
        <v>41</v>
      </c>
      <c r="C331" s="95" t="s">
        <v>496</v>
      </c>
      <c r="D331" s="429" t="s">
        <v>351</v>
      </c>
      <c r="E331" s="429" t="s">
        <v>794</v>
      </c>
      <c r="F331" s="91">
        <v>679.07</v>
      </c>
      <c r="G331" s="486">
        <v>799</v>
      </c>
      <c r="H331" s="91">
        <v>2</v>
      </c>
      <c r="I331" s="91" t="s">
        <v>941</v>
      </c>
      <c r="J331" s="91" t="s">
        <v>941</v>
      </c>
      <c r="K331" s="91" t="s">
        <v>942</v>
      </c>
      <c r="L331" s="91" t="s">
        <v>942</v>
      </c>
      <c r="M331" s="91">
        <v>5</v>
      </c>
      <c r="N331" s="91" t="s">
        <v>943</v>
      </c>
      <c r="O331" s="91" t="s">
        <v>930</v>
      </c>
      <c r="P331" s="91" t="s">
        <v>930</v>
      </c>
      <c r="Q331" s="457" t="s">
        <v>792</v>
      </c>
      <c r="R331" s="91"/>
      <c r="S331" s="91"/>
      <c r="T331" s="91"/>
      <c r="U331" s="91" t="s">
        <v>792</v>
      </c>
      <c r="V331" s="91"/>
      <c r="W331" s="91"/>
      <c r="X331" s="91" t="s">
        <v>792</v>
      </c>
      <c r="Y331" s="91"/>
      <c r="Z331" s="91"/>
      <c r="AA331" s="91" t="s">
        <v>792</v>
      </c>
      <c r="AB331" s="91"/>
      <c r="AC331" s="91"/>
      <c r="AD331" s="91" t="s">
        <v>792</v>
      </c>
      <c r="AE331" s="91"/>
      <c r="AF331" s="91"/>
      <c r="AG331" s="91" t="s">
        <v>922</v>
      </c>
      <c r="AH331" s="91"/>
      <c r="AI331" s="91"/>
      <c r="AJ331" s="91" t="s">
        <v>936</v>
      </c>
      <c r="AK331" s="91"/>
      <c r="AL331" s="91" t="s">
        <v>937</v>
      </c>
      <c r="AM331" s="91"/>
      <c r="AN331" s="91" t="s">
        <v>938</v>
      </c>
      <c r="AO331" s="91" t="s">
        <v>945</v>
      </c>
      <c r="AP331" s="91" t="s">
        <v>946</v>
      </c>
      <c r="AQ331" s="91"/>
      <c r="AR331" s="91" t="s">
        <v>948</v>
      </c>
      <c r="AS331" s="91"/>
      <c r="AT331" s="91" t="s">
        <v>949</v>
      </c>
      <c r="AU331" s="91" t="s">
        <v>926</v>
      </c>
      <c r="AV331" s="91"/>
      <c r="AW331" s="91"/>
      <c r="AX331" s="91"/>
      <c r="AY331" s="91"/>
      <c r="AZ331" s="91"/>
      <c r="BA331" s="91" t="s">
        <v>792</v>
      </c>
      <c r="BB331" s="426"/>
      <c r="BC331" s="426"/>
      <c r="BD331" s="91" t="s">
        <v>792</v>
      </c>
      <c r="BE331" s="91" t="s">
        <v>927</v>
      </c>
      <c r="BF331" s="426">
        <v>0</v>
      </c>
      <c r="BG331" s="426">
        <v>0</v>
      </c>
      <c r="BH331" s="426">
        <v>0</v>
      </c>
      <c r="BI331" s="426">
        <v>0</v>
      </c>
      <c r="BJ331" s="426">
        <v>0</v>
      </c>
      <c r="BK331" s="426" t="s">
        <v>792</v>
      </c>
      <c r="BL331" s="91" t="s">
        <v>792</v>
      </c>
      <c r="BM331" s="426"/>
      <c r="BN331" s="426"/>
      <c r="BO331" s="91" t="s">
        <v>792</v>
      </c>
      <c r="BP331" s="426"/>
      <c r="BQ331" s="426"/>
      <c r="BR331" s="426"/>
    </row>
    <row r="332" spans="2:70" ht="14.7" customHeight="1" outlineLevel="1" x14ac:dyDescent="0.3">
      <c r="B332" s="425">
        <f t="shared" si="8"/>
        <v>42</v>
      </c>
      <c r="C332" s="95" t="s">
        <v>498</v>
      </c>
      <c r="D332" s="429" t="s">
        <v>351</v>
      </c>
      <c r="E332" s="429" t="s">
        <v>794</v>
      </c>
      <c r="F332" s="91">
        <v>933.26</v>
      </c>
      <c r="G332" s="486">
        <v>1098.9992</v>
      </c>
      <c r="H332" s="91">
        <v>2</v>
      </c>
      <c r="I332" s="91" t="s">
        <v>941</v>
      </c>
      <c r="J332" s="91" t="s">
        <v>941</v>
      </c>
      <c r="K332" s="91" t="s">
        <v>942</v>
      </c>
      <c r="L332" s="91" t="s">
        <v>942</v>
      </c>
      <c r="M332" s="91">
        <v>5</v>
      </c>
      <c r="N332" s="91" t="s">
        <v>943</v>
      </c>
      <c r="O332" s="91" t="s">
        <v>960</v>
      </c>
      <c r="P332" s="91" t="s">
        <v>960</v>
      </c>
      <c r="Q332" s="457" t="s">
        <v>792</v>
      </c>
      <c r="R332" s="91">
        <v>6</v>
      </c>
      <c r="S332" s="91">
        <v>300</v>
      </c>
      <c r="T332" s="91">
        <v>300</v>
      </c>
      <c r="U332" s="91" t="s">
        <v>792</v>
      </c>
      <c r="V332" s="91"/>
      <c r="W332" s="91"/>
      <c r="X332" s="91" t="s">
        <v>792</v>
      </c>
      <c r="Y332" s="91"/>
      <c r="Z332" s="91"/>
      <c r="AA332" s="91" t="s">
        <v>792</v>
      </c>
      <c r="AB332" s="91"/>
      <c r="AC332" s="91"/>
      <c r="AD332" s="91" t="s">
        <v>792</v>
      </c>
      <c r="AE332" s="91"/>
      <c r="AF332" s="91"/>
      <c r="AG332" s="91" t="s">
        <v>922</v>
      </c>
      <c r="AH332" s="91"/>
      <c r="AI332" s="91"/>
      <c r="AJ332" s="91" t="s">
        <v>936</v>
      </c>
      <c r="AK332" s="91"/>
      <c r="AL332" s="91" t="s">
        <v>937</v>
      </c>
      <c r="AM332" s="91"/>
      <c r="AN332" s="91" t="s">
        <v>938</v>
      </c>
      <c r="AO332" s="91" t="s">
        <v>945</v>
      </c>
      <c r="AP332" s="91" t="s">
        <v>946</v>
      </c>
      <c r="AQ332" s="91"/>
      <c r="AR332" s="91" t="s">
        <v>948</v>
      </c>
      <c r="AS332" s="91" t="s">
        <v>951</v>
      </c>
      <c r="AT332" s="91" t="s">
        <v>949</v>
      </c>
      <c r="AU332" s="91" t="s">
        <v>926</v>
      </c>
      <c r="AV332" s="91"/>
      <c r="AW332" s="91"/>
      <c r="AX332" s="91"/>
      <c r="AY332" s="91"/>
      <c r="AZ332" s="91"/>
      <c r="BA332" s="91" t="s">
        <v>792</v>
      </c>
      <c r="BB332" s="426"/>
      <c r="BC332" s="426"/>
      <c r="BD332" s="91" t="s">
        <v>792</v>
      </c>
      <c r="BE332" s="91" t="s">
        <v>927</v>
      </c>
      <c r="BF332" s="426">
        <v>0</v>
      </c>
      <c r="BG332" s="426">
        <v>0</v>
      </c>
      <c r="BH332" s="426">
        <v>0</v>
      </c>
      <c r="BI332" s="426">
        <v>0</v>
      </c>
      <c r="BJ332" s="426">
        <v>0</v>
      </c>
      <c r="BK332" s="426" t="s">
        <v>792</v>
      </c>
      <c r="BL332" s="91" t="s">
        <v>792</v>
      </c>
      <c r="BM332" s="426"/>
      <c r="BN332" s="426"/>
      <c r="BO332" s="91" t="s">
        <v>792</v>
      </c>
      <c r="BP332" s="426"/>
      <c r="BQ332" s="426"/>
      <c r="BR332" s="426"/>
    </row>
    <row r="333" spans="2:70" ht="14.7" customHeight="1" outlineLevel="1" x14ac:dyDescent="0.3">
      <c r="B333" s="425">
        <f t="shared" si="8"/>
        <v>43</v>
      </c>
      <c r="C333" s="95" t="s">
        <v>500</v>
      </c>
      <c r="D333" s="429" t="s">
        <v>351</v>
      </c>
      <c r="E333" s="429" t="s">
        <v>794</v>
      </c>
      <c r="F333" s="91">
        <v>1610.49</v>
      </c>
      <c r="G333" s="486">
        <v>1899.0028</v>
      </c>
      <c r="H333" s="91">
        <v>2</v>
      </c>
      <c r="I333" s="91" t="s">
        <v>941</v>
      </c>
      <c r="J333" s="91" t="s">
        <v>941</v>
      </c>
      <c r="K333" s="91" t="s">
        <v>942</v>
      </c>
      <c r="L333" s="91" t="s">
        <v>942</v>
      </c>
      <c r="M333" s="91">
        <v>5</v>
      </c>
      <c r="N333" s="91" t="s">
        <v>943</v>
      </c>
      <c r="O333" s="91" t="s">
        <v>961</v>
      </c>
      <c r="P333" s="91" t="s">
        <v>961</v>
      </c>
      <c r="Q333" s="457" t="s">
        <v>792</v>
      </c>
      <c r="R333" s="91"/>
      <c r="S333" s="91"/>
      <c r="T333" s="91"/>
      <c r="U333" s="91" t="s">
        <v>792</v>
      </c>
      <c r="V333" s="91"/>
      <c r="W333" s="91"/>
      <c r="X333" s="91" t="s">
        <v>792</v>
      </c>
      <c r="Y333" s="91"/>
      <c r="Z333" s="91"/>
      <c r="AA333" s="91" t="s">
        <v>792</v>
      </c>
      <c r="AB333" s="91"/>
      <c r="AC333" s="91"/>
      <c r="AD333" s="91" t="s">
        <v>792</v>
      </c>
      <c r="AE333" s="91"/>
      <c r="AF333" s="91"/>
      <c r="AG333" s="91" t="s">
        <v>922</v>
      </c>
      <c r="AH333" s="91"/>
      <c r="AI333" s="91"/>
      <c r="AJ333" s="91" t="s">
        <v>936</v>
      </c>
      <c r="AK333" s="91"/>
      <c r="AL333" s="91" t="s">
        <v>937</v>
      </c>
      <c r="AM333" s="91"/>
      <c r="AN333" s="91" t="s">
        <v>938</v>
      </c>
      <c r="AO333" s="91" t="s">
        <v>945</v>
      </c>
      <c r="AP333" s="91" t="s">
        <v>946</v>
      </c>
      <c r="AQ333" s="91"/>
      <c r="AR333" s="91" t="s">
        <v>952</v>
      </c>
      <c r="AS333" s="91" t="s">
        <v>951</v>
      </c>
      <c r="AT333" s="91" t="s">
        <v>949</v>
      </c>
      <c r="AU333" s="91" t="s">
        <v>926</v>
      </c>
      <c r="AV333" s="91"/>
      <c r="AW333" s="91"/>
      <c r="AX333" s="91"/>
      <c r="AY333" s="91"/>
      <c r="AZ333" s="91"/>
      <c r="BA333" s="91" t="s">
        <v>792</v>
      </c>
      <c r="BB333" s="426"/>
      <c r="BC333" s="426"/>
      <c r="BD333" s="91" t="s">
        <v>792</v>
      </c>
      <c r="BE333" s="91" t="s">
        <v>927</v>
      </c>
      <c r="BF333" s="426">
        <v>0</v>
      </c>
      <c r="BG333" s="426">
        <v>0</v>
      </c>
      <c r="BH333" s="426">
        <v>0</v>
      </c>
      <c r="BI333" s="426">
        <v>0</v>
      </c>
      <c r="BJ333" s="426">
        <v>0</v>
      </c>
      <c r="BK333" s="426" t="s">
        <v>792</v>
      </c>
      <c r="BL333" s="91" t="s">
        <v>792</v>
      </c>
      <c r="BM333" s="426"/>
      <c r="BN333" s="426"/>
      <c r="BO333" s="91" t="s">
        <v>792</v>
      </c>
      <c r="BP333" s="426"/>
      <c r="BQ333" s="426"/>
      <c r="BR333" s="426"/>
    </row>
    <row r="334" spans="2:70" ht="14.7" customHeight="1" outlineLevel="1" x14ac:dyDescent="0.3">
      <c r="B334" s="425">
        <f t="shared" si="8"/>
        <v>44</v>
      </c>
      <c r="C334" s="95" t="s">
        <v>502</v>
      </c>
      <c r="D334" s="429" t="s">
        <v>351</v>
      </c>
      <c r="E334" s="429" t="s">
        <v>794</v>
      </c>
      <c r="F334" s="91">
        <v>1898.45</v>
      </c>
      <c r="G334" s="486">
        <v>2238.9987999999998</v>
      </c>
      <c r="H334" s="91">
        <v>4</v>
      </c>
      <c r="I334" s="91" t="s">
        <v>941</v>
      </c>
      <c r="J334" s="91" t="s">
        <v>941</v>
      </c>
      <c r="K334" s="91" t="s">
        <v>942</v>
      </c>
      <c r="L334" s="91" t="s">
        <v>942</v>
      </c>
      <c r="M334" s="91">
        <v>5</v>
      </c>
      <c r="N334" s="91" t="s">
        <v>943</v>
      </c>
      <c r="O334" s="91" t="s">
        <v>961</v>
      </c>
      <c r="P334" s="91" t="s">
        <v>961</v>
      </c>
      <c r="Q334" s="457" t="s">
        <v>792</v>
      </c>
      <c r="R334" s="91"/>
      <c r="S334" s="91"/>
      <c r="T334" s="91"/>
      <c r="U334" s="91" t="s">
        <v>792</v>
      </c>
      <c r="V334" s="91"/>
      <c r="W334" s="91"/>
      <c r="X334" s="91" t="s">
        <v>792</v>
      </c>
      <c r="Y334" s="91"/>
      <c r="Z334" s="91"/>
      <c r="AA334" s="91" t="s">
        <v>792</v>
      </c>
      <c r="AB334" s="91"/>
      <c r="AC334" s="91"/>
      <c r="AD334" s="91" t="s">
        <v>792</v>
      </c>
      <c r="AE334" s="91"/>
      <c r="AF334" s="91"/>
      <c r="AG334" s="91" t="s">
        <v>922</v>
      </c>
      <c r="AH334" s="91"/>
      <c r="AI334" s="91"/>
      <c r="AJ334" s="91" t="s">
        <v>936</v>
      </c>
      <c r="AK334" s="91"/>
      <c r="AL334" s="91" t="s">
        <v>937</v>
      </c>
      <c r="AM334" s="91"/>
      <c r="AN334" s="91" t="s">
        <v>938</v>
      </c>
      <c r="AO334" s="91" t="s">
        <v>945</v>
      </c>
      <c r="AP334" s="91" t="s">
        <v>946</v>
      </c>
      <c r="AQ334" s="91"/>
      <c r="AR334" s="91" t="s">
        <v>952</v>
      </c>
      <c r="AS334" s="91" t="s">
        <v>951</v>
      </c>
      <c r="AT334" s="91" t="s">
        <v>949</v>
      </c>
      <c r="AU334" s="91" t="s">
        <v>926</v>
      </c>
      <c r="AV334" s="91"/>
      <c r="AW334" s="91"/>
      <c r="AX334" s="91"/>
      <c r="AY334" s="91"/>
      <c r="AZ334" s="91"/>
      <c r="BA334" s="91" t="s">
        <v>792</v>
      </c>
      <c r="BB334" s="426"/>
      <c r="BC334" s="426"/>
      <c r="BD334" s="91" t="s">
        <v>792</v>
      </c>
      <c r="BE334" s="91" t="s">
        <v>927</v>
      </c>
      <c r="BF334" s="426">
        <v>0</v>
      </c>
      <c r="BG334" s="426">
        <v>0</v>
      </c>
      <c r="BH334" s="426">
        <v>0</v>
      </c>
      <c r="BI334" s="426">
        <v>0</v>
      </c>
      <c r="BJ334" s="426">
        <v>0</v>
      </c>
      <c r="BK334" s="426" t="s">
        <v>792</v>
      </c>
      <c r="BL334" s="91" t="s">
        <v>792</v>
      </c>
      <c r="BM334" s="426"/>
      <c r="BN334" s="426"/>
      <c r="BO334" s="91" t="s">
        <v>792</v>
      </c>
      <c r="BP334" s="426"/>
      <c r="BQ334" s="426"/>
      <c r="BR334" s="426"/>
    </row>
    <row r="335" spans="2:70" ht="14.7" customHeight="1" outlineLevel="1" x14ac:dyDescent="0.3">
      <c r="B335" s="425">
        <f t="shared" si="8"/>
        <v>45</v>
      </c>
      <c r="C335" s="95" t="s">
        <v>504</v>
      </c>
      <c r="D335" s="429" t="s">
        <v>351</v>
      </c>
      <c r="E335" s="429" t="s">
        <v>794</v>
      </c>
      <c r="F335" s="91">
        <v>2363.7200000000003</v>
      </c>
      <c r="G335" s="486">
        <v>2789.0047999999997</v>
      </c>
      <c r="H335" s="91">
        <v>6</v>
      </c>
      <c r="I335" s="91" t="s">
        <v>941</v>
      </c>
      <c r="J335" s="91" t="s">
        <v>941</v>
      </c>
      <c r="K335" s="91" t="s">
        <v>942</v>
      </c>
      <c r="L335" s="91" t="s">
        <v>942</v>
      </c>
      <c r="M335" s="91">
        <v>5</v>
      </c>
      <c r="N335" s="91" t="s">
        <v>943</v>
      </c>
      <c r="O335" s="91" t="s">
        <v>950</v>
      </c>
      <c r="P335" s="91" t="s">
        <v>950</v>
      </c>
      <c r="Q335" s="457" t="s">
        <v>792</v>
      </c>
      <c r="R335" s="91"/>
      <c r="S335" s="91"/>
      <c r="T335" s="91"/>
      <c r="U335" s="91" t="s">
        <v>792</v>
      </c>
      <c r="V335" s="91"/>
      <c r="W335" s="91"/>
      <c r="X335" s="91" t="s">
        <v>792</v>
      </c>
      <c r="Y335" s="91"/>
      <c r="Z335" s="91"/>
      <c r="AA335" s="91" t="s">
        <v>792</v>
      </c>
      <c r="AB335" s="91"/>
      <c r="AC335" s="91"/>
      <c r="AD335" s="91" t="s">
        <v>792</v>
      </c>
      <c r="AE335" s="91"/>
      <c r="AF335" s="91"/>
      <c r="AG335" s="91" t="s">
        <v>922</v>
      </c>
      <c r="AH335" s="91"/>
      <c r="AI335" s="91"/>
      <c r="AJ335" s="91" t="s">
        <v>936</v>
      </c>
      <c r="AK335" s="91"/>
      <c r="AL335" s="91" t="s">
        <v>937</v>
      </c>
      <c r="AM335" s="91"/>
      <c r="AN335" s="91" t="s">
        <v>938</v>
      </c>
      <c r="AO335" s="91" t="s">
        <v>945</v>
      </c>
      <c r="AP335" s="91" t="s">
        <v>946</v>
      </c>
      <c r="AQ335" s="91"/>
      <c r="AR335" s="91" t="s">
        <v>952</v>
      </c>
      <c r="AS335" s="91" t="s">
        <v>951</v>
      </c>
      <c r="AT335" s="91" t="s">
        <v>949</v>
      </c>
      <c r="AU335" s="91" t="s">
        <v>926</v>
      </c>
      <c r="AV335" s="91"/>
      <c r="AW335" s="91"/>
      <c r="AX335" s="91"/>
      <c r="AY335" s="91"/>
      <c r="AZ335" s="91"/>
      <c r="BA335" s="91" t="s">
        <v>792</v>
      </c>
      <c r="BB335" s="426"/>
      <c r="BC335" s="426"/>
      <c r="BD335" s="91" t="s">
        <v>792</v>
      </c>
      <c r="BE335" s="91" t="s">
        <v>927</v>
      </c>
      <c r="BF335" s="426">
        <v>0</v>
      </c>
      <c r="BG335" s="426">
        <v>0</v>
      </c>
      <c r="BH335" s="426">
        <v>0</v>
      </c>
      <c r="BI335" s="426">
        <v>0</v>
      </c>
      <c r="BJ335" s="426">
        <v>0</v>
      </c>
      <c r="BK335" s="426" t="s">
        <v>792</v>
      </c>
      <c r="BL335" s="91" t="s">
        <v>792</v>
      </c>
      <c r="BM335" s="426"/>
      <c r="BN335" s="426"/>
      <c r="BO335" s="91" t="s">
        <v>792</v>
      </c>
      <c r="BP335" s="426"/>
      <c r="BQ335" s="426"/>
      <c r="BR335" s="426"/>
    </row>
    <row r="336" spans="2:70" ht="14.7" hidden="1" customHeight="1" outlineLevel="1" x14ac:dyDescent="0.3">
      <c r="B336" s="425">
        <f t="shared" si="8"/>
        <v>46</v>
      </c>
      <c r="C336" s="95" t="s">
        <v>456</v>
      </c>
      <c r="D336" s="429" t="s">
        <v>796</v>
      </c>
      <c r="E336" s="429" t="s">
        <v>797</v>
      </c>
      <c r="F336" s="91"/>
      <c r="G336" s="91"/>
      <c r="H336" s="91"/>
      <c r="I336" s="91"/>
      <c r="J336" s="91"/>
      <c r="K336" s="91"/>
      <c r="L336" s="91"/>
      <c r="M336" s="91"/>
      <c r="N336" s="91"/>
      <c r="O336" s="91"/>
      <c r="P336" s="91"/>
      <c r="Q336" s="457" t="s">
        <v>792</v>
      </c>
      <c r="R336" s="91"/>
      <c r="S336" s="91"/>
      <c r="T336" s="91"/>
      <c r="U336" s="91"/>
      <c r="V336" s="91"/>
      <c r="W336" s="91"/>
      <c r="X336" s="91" t="s">
        <v>927</v>
      </c>
      <c r="Y336" s="91"/>
      <c r="Z336" s="91"/>
      <c r="AA336" s="91"/>
      <c r="AB336" s="91"/>
      <c r="AC336" s="91"/>
      <c r="AD336" s="91"/>
      <c r="AE336" s="91"/>
      <c r="AF336" s="91"/>
      <c r="AG336" s="91"/>
      <c r="AH336" s="91"/>
      <c r="AI336" s="91"/>
      <c r="AJ336" s="91"/>
      <c r="AK336" s="91"/>
      <c r="AL336" s="91"/>
      <c r="AM336" s="91"/>
      <c r="AN336" s="91"/>
      <c r="AO336" s="91"/>
      <c r="AP336" s="91"/>
      <c r="AQ336" s="91"/>
      <c r="AR336" s="91"/>
      <c r="AS336" s="91"/>
      <c r="AT336" s="91"/>
      <c r="AU336" s="91"/>
      <c r="AV336" s="91"/>
      <c r="AW336" s="91"/>
      <c r="AX336" s="91"/>
      <c r="AY336" s="91"/>
      <c r="AZ336" s="91"/>
      <c r="BA336" s="91" t="s">
        <v>792</v>
      </c>
      <c r="BB336" s="426"/>
      <c r="BC336" s="426"/>
      <c r="BD336" s="91" t="s">
        <v>792</v>
      </c>
      <c r="BE336" s="91" t="s">
        <v>927</v>
      </c>
      <c r="BF336" s="426"/>
      <c r="BG336" s="426"/>
      <c r="BH336" s="426"/>
      <c r="BI336" s="426"/>
      <c r="BJ336" s="426"/>
      <c r="BK336" s="426"/>
      <c r="BL336" s="91" t="s">
        <v>792</v>
      </c>
      <c r="BM336" s="426"/>
      <c r="BN336" s="426"/>
      <c r="BO336" s="91" t="s">
        <v>792</v>
      </c>
      <c r="BP336" s="426"/>
      <c r="BQ336" s="426"/>
      <c r="BR336" s="426"/>
    </row>
    <row r="337" spans="2:70" ht="14.7" hidden="1" customHeight="1" outlineLevel="1" x14ac:dyDescent="0.3">
      <c r="B337" s="425">
        <f t="shared" si="8"/>
        <v>47</v>
      </c>
      <c r="C337" s="95" t="s">
        <v>456</v>
      </c>
      <c r="D337" s="429" t="s">
        <v>796</v>
      </c>
      <c r="E337" s="429" t="s">
        <v>797</v>
      </c>
      <c r="F337" s="91"/>
      <c r="G337" s="91"/>
      <c r="H337" s="91"/>
      <c r="I337" s="91"/>
      <c r="J337" s="91"/>
      <c r="K337" s="91"/>
      <c r="L337" s="91"/>
      <c r="M337" s="91"/>
      <c r="N337" s="91"/>
      <c r="O337" s="91"/>
      <c r="P337" s="91"/>
      <c r="Q337" s="457" t="s">
        <v>792</v>
      </c>
      <c r="R337" s="91"/>
      <c r="S337" s="91"/>
      <c r="T337" s="91"/>
      <c r="U337" s="91"/>
      <c r="V337" s="91"/>
      <c r="W337" s="91"/>
      <c r="X337" s="91" t="s">
        <v>927</v>
      </c>
      <c r="Y337" s="91"/>
      <c r="Z337" s="91"/>
      <c r="AA337" s="91"/>
      <c r="AB337" s="91"/>
      <c r="AC337" s="91"/>
      <c r="AD337" s="91"/>
      <c r="AE337" s="91"/>
      <c r="AF337" s="91"/>
      <c r="AG337" s="91"/>
      <c r="AH337" s="91"/>
      <c r="AI337" s="91"/>
      <c r="AJ337" s="91"/>
      <c r="AK337" s="91"/>
      <c r="AL337" s="91"/>
      <c r="AM337" s="91"/>
      <c r="AN337" s="91"/>
      <c r="AO337" s="91"/>
      <c r="AP337" s="91"/>
      <c r="AQ337" s="91"/>
      <c r="AR337" s="91"/>
      <c r="AS337" s="91"/>
      <c r="AT337" s="91"/>
      <c r="AU337" s="91"/>
      <c r="AV337" s="91"/>
      <c r="AW337" s="91"/>
      <c r="AX337" s="91"/>
      <c r="AY337" s="91"/>
      <c r="AZ337" s="91"/>
      <c r="BA337" s="91" t="s">
        <v>792</v>
      </c>
      <c r="BB337" s="426"/>
      <c r="BC337" s="426"/>
      <c r="BD337" s="91" t="s">
        <v>792</v>
      </c>
      <c r="BE337" s="91" t="s">
        <v>927</v>
      </c>
      <c r="BF337" s="426"/>
      <c r="BG337" s="426"/>
      <c r="BH337" s="426"/>
      <c r="BI337" s="426"/>
      <c r="BJ337" s="426"/>
      <c r="BK337" s="426"/>
      <c r="BL337" s="91" t="s">
        <v>792</v>
      </c>
      <c r="BM337" s="426"/>
      <c r="BN337" s="426"/>
      <c r="BO337" s="91" t="s">
        <v>792</v>
      </c>
      <c r="BP337" s="426"/>
      <c r="BQ337" s="426"/>
      <c r="BR337" s="426"/>
    </row>
    <row r="338" spans="2:70" ht="14.7" hidden="1" customHeight="1" outlineLevel="1" x14ac:dyDescent="0.3">
      <c r="B338" s="425">
        <f t="shared" si="8"/>
        <v>48</v>
      </c>
      <c r="C338" s="95" t="s">
        <v>456</v>
      </c>
      <c r="D338" s="429" t="s">
        <v>796</v>
      </c>
      <c r="E338" s="429" t="s">
        <v>797</v>
      </c>
      <c r="F338" s="91"/>
      <c r="G338" s="91"/>
      <c r="H338" s="91"/>
      <c r="I338" s="91"/>
      <c r="J338" s="91"/>
      <c r="K338" s="91"/>
      <c r="L338" s="91"/>
      <c r="M338" s="91"/>
      <c r="N338" s="91"/>
      <c r="O338" s="91"/>
      <c r="P338" s="91"/>
      <c r="Q338" s="457" t="s">
        <v>792</v>
      </c>
      <c r="R338" s="91"/>
      <c r="S338" s="91"/>
      <c r="T338" s="91"/>
      <c r="U338" s="91"/>
      <c r="V338" s="91"/>
      <c r="W338" s="91"/>
      <c r="X338" s="91" t="s">
        <v>927</v>
      </c>
      <c r="Y338" s="91"/>
      <c r="Z338" s="91"/>
      <c r="AA338" s="91"/>
      <c r="AB338" s="91"/>
      <c r="AC338" s="91"/>
      <c r="AD338" s="91"/>
      <c r="AE338" s="91"/>
      <c r="AF338" s="91"/>
      <c r="AG338" s="91"/>
      <c r="AH338" s="91"/>
      <c r="AI338" s="91"/>
      <c r="AJ338" s="91"/>
      <c r="AK338" s="91"/>
      <c r="AL338" s="91"/>
      <c r="AM338" s="91"/>
      <c r="AN338" s="91"/>
      <c r="AO338" s="91"/>
      <c r="AP338" s="91"/>
      <c r="AQ338" s="91"/>
      <c r="AR338" s="91"/>
      <c r="AS338" s="91"/>
      <c r="AT338" s="91"/>
      <c r="AU338" s="91"/>
      <c r="AV338" s="91"/>
      <c r="AW338" s="91"/>
      <c r="AX338" s="91"/>
      <c r="AY338" s="91"/>
      <c r="AZ338" s="91"/>
      <c r="BA338" s="91" t="s">
        <v>792</v>
      </c>
      <c r="BB338" s="426"/>
      <c r="BC338" s="426"/>
      <c r="BD338" s="91" t="s">
        <v>792</v>
      </c>
      <c r="BE338" s="91" t="s">
        <v>927</v>
      </c>
      <c r="BF338" s="426"/>
      <c r="BG338" s="426"/>
      <c r="BH338" s="426"/>
      <c r="BI338" s="426"/>
      <c r="BJ338" s="426"/>
      <c r="BK338" s="426"/>
      <c r="BL338" s="91" t="s">
        <v>792</v>
      </c>
      <c r="BM338" s="426"/>
      <c r="BN338" s="426"/>
      <c r="BO338" s="91" t="s">
        <v>792</v>
      </c>
      <c r="BP338" s="426"/>
      <c r="BQ338" s="426"/>
      <c r="BR338" s="426"/>
    </row>
    <row r="339" spans="2:70" ht="14.7" hidden="1" customHeight="1" outlineLevel="1" x14ac:dyDescent="0.3">
      <c r="B339" s="425">
        <f t="shared" si="8"/>
        <v>49</v>
      </c>
      <c r="C339" s="95" t="s">
        <v>456</v>
      </c>
      <c r="D339" s="429" t="s">
        <v>796</v>
      </c>
      <c r="E339" s="429" t="s">
        <v>797</v>
      </c>
      <c r="F339" s="91"/>
      <c r="G339" s="91"/>
      <c r="H339" s="91"/>
      <c r="I339" s="91"/>
      <c r="J339" s="91"/>
      <c r="K339" s="91"/>
      <c r="L339" s="91"/>
      <c r="M339" s="91"/>
      <c r="N339" s="91"/>
      <c r="O339" s="91"/>
      <c r="P339" s="91"/>
      <c r="Q339" s="457" t="s">
        <v>792</v>
      </c>
      <c r="R339" s="91"/>
      <c r="S339" s="91"/>
      <c r="T339" s="91"/>
      <c r="U339" s="91"/>
      <c r="V339" s="91"/>
      <c r="W339" s="91"/>
      <c r="X339" s="91" t="s">
        <v>927</v>
      </c>
      <c r="Y339" s="91"/>
      <c r="Z339" s="91"/>
      <c r="AA339" s="91"/>
      <c r="AB339" s="91"/>
      <c r="AC339" s="91"/>
      <c r="AD339" s="91"/>
      <c r="AE339" s="91"/>
      <c r="AF339" s="91"/>
      <c r="AG339" s="91"/>
      <c r="AH339" s="91"/>
      <c r="AI339" s="91"/>
      <c r="AJ339" s="91"/>
      <c r="AK339" s="91"/>
      <c r="AL339" s="91"/>
      <c r="AM339" s="91"/>
      <c r="AN339" s="91"/>
      <c r="AO339" s="91"/>
      <c r="AP339" s="91"/>
      <c r="AQ339" s="91"/>
      <c r="AR339" s="91"/>
      <c r="AS339" s="91"/>
      <c r="AT339" s="91"/>
      <c r="AU339" s="91"/>
      <c r="AV339" s="91"/>
      <c r="AW339" s="91"/>
      <c r="AX339" s="91"/>
      <c r="AY339" s="91"/>
      <c r="AZ339" s="91"/>
      <c r="BA339" s="91" t="s">
        <v>792</v>
      </c>
      <c r="BB339" s="426"/>
      <c r="BC339" s="426"/>
      <c r="BD339" s="91" t="s">
        <v>792</v>
      </c>
      <c r="BE339" s="91" t="s">
        <v>927</v>
      </c>
      <c r="BF339" s="426"/>
      <c r="BG339" s="426"/>
      <c r="BH339" s="426"/>
      <c r="BI339" s="426"/>
      <c r="BJ339" s="426"/>
      <c r="BK339" s="426"/>
      <c r="BL339" s="91" t="s">
        <v>792</v>
      </c>
      <c r="BM339" s="426"/>
      <c r="BN339" s="426"/>
      <c r="BO339" s="91" t="s">
        <v>792</v>
      </c>
      <c r="BP339" s="426"/>
      <c r="BQ339" s="426"/>
      <c r="BR339" s="426"/>
    </row>
    <row r="340" spans="2:70" ht="14.7" hidden="1" customHeight="1" outlineLevel="1" x14ac:dyDescent="0.3">
      <c r="B340" s="425">
        <f t="shared" si="8"/>
        <v>50</v>
      </c>
      <c r="C340" s="95" t="s">
        <v>456</v>
      </c>
      <c r="D340" s="429" t="s">
        <v>796</v>
      </c>
      <c r="E340" s="429" t="s">
        <v>797</v>
      </c>
      <c r="F340" s="91"/>
      <c r="G340" s="91"/>
      <c r="H340" s="91"/>
      <c r="I340" s="91"/>
      <c r="J340" s="91"/>
      <c r="K340" s="91"/>
      <c r="L340" s="91"/>
      <c r="M340" s="91"/>
      <c r="N340" s="91"/>
      <c r="O340" s="91"/>
      <c r="P340" s="91"/>
      <c r="Q340" s="457" t="s">
        <v>792</v>
      </c>
      <c r="R340" s="91"/>
      <c r="S340" s="91"/>
      <c r="T340" s="91"/>
      <c r="U340" s="91"/>
      <c r="V340" s="91"/>
      <c r="W340" s="91"/>
      <c r="X340" s="91" t="s">
        <v>927</v>
      </c>
      <c r="Y340" s="91"/>
      <c r="Z340" s="91"/>
      <c r="AA340" s="91"/>
      <c r="AB340" s="91"/>
      <c r="AC340" s="91"/>
      <c r="AD340" s="91"/>
      <c r="AE340" s="91"/>
      <c r="AF340" s="91"/>
      <c r="AG340" s="91"/>
      <c r="AH340" s="91"/>
      <c r="AI340" s="91"/>
      <c r="AJ340" s="91"/>
      <c r="AK340" s="91"/>
      <c r="AL340" s="91"/>
      <c r="AM340" s="91"/>
      <c r="AN340" s="91"/>
      <c r="AO340" s="91"/>
      <c r="AP340" s="91"/>
      <c r="AQ340" s="91"/>
      <c r="AR340" s="91"/>
      <c r="AS340" s="91"/>
      <c r="AT340" s="91"/>
      <c r="AU340" s="91"/>
      <c r="AV340" s="91"/>
      <c r="AW340" s="91"/>
      <c r="AX340" s="91"/>
      <c r="AY340" s="91"/>
      <c r="AZ340" s="91"/>
      <c r="BA340" s="91" t="s">
        <v>792</v>
      </c>
      <c r="BB340" s="426"/>
      <c r="BC340" s="426"/>
      <c r="BD340" s="91" t="s">
        <v>792</v>
      </c>
      <c r="BE340" s="91" t="s">
        <v>927</v>
      </c>
      <c r="BF340" s="426"/>
      <c r="BG340" s="426"/>
      <c r="BH340" s="426"/>
      <c r="BI340" s="426"/>
      <c r="BJ340" s="426"/>
      <c r="BK340" s="426"/>
      <c r="BL340" s="91" t="s">
        <v>792</v>
      </c>
      <c r="BM340" s="426"/>
      <c r="BN340" s="426"/>
      <c r="BO340" s="91" t="s">
        <v>792</v>
      </c>
      <c r="BP340" s="426"/>
      <c r="BQ340" s="426"/>
      <c r="BR340" s="426"/>
    </row>
    <row r="341" spans="2:70" ht="14.7" hidden="1" customHeight="1" outlineLevel="1" x14ac:dyDescent="0.3">
      <c r="B341" s="425">
        <f t="shared" si="8"/>
        <v>51</v>
      </c>
      <c r="C341" s="95" t="s">
        <v>456</v>
      </c>
      <c r="D341" s="429" t="s">
        <v>796</v>
      </c>
      <c r="E341" s="429" t="s">
        <v>797</v>
      </c>
      <c r="F341" s="91"/>
      <c r="G341" s="91"/>
      <c r="H341" s="91"/>
      <c r="I341" s="91"/>
      <c r="J341" s="91"/>
      <c r="K341" s="91"/>
      <c r="L341" s="91"/>
      <c r="M341" s="91"/>
      <c r="N341" s="91"/>
      <c r="O341" s="91"/>
      <c r="P341" s="91"/>
      <c r="Q341" s="457" t="s">
        <v>792</v>
      </c>
      <c r="R341" s="91"/>
      <c r="S341" s="91"/>
      <c r="T341" s="91"/>
      <c r="U341" s="91"/>
      <c r="V341" s="91"/>
      <c r="W341" s="91"/>
      <c r="X341" s="91" t="s">
        <v>927</v>
      </c>
      <c r="Y341" s="91"/>
      <c r="Z341" s="91"/>
      <c r="AA341" s="91"/>
      <c r="AB341" s="91"/>
      <c r="AC341" s="91"/>
      <c r="AD341" s="91"/>
      <c r="AE341" s="91"/>
      <c r="AF341" s="91"/>
      <c r="AG341" s="91"/>
      <c r="AH341" s="91"/>
      <c r="AI341" s="91"/>
      <c r="AJ341" s="91"/>
      <c r="AK341" s="91"/>
      <c r="AL341" s="91"/>
      <c r="AM341" s="91"/>
      <c r="AN341" s="91"/>
      <c r="AO341" s="91"/>
      <c r="AP341" s="91"/>
      <c r="AQ341" s="91"/>
      <c r="AR341" s="91"/>
      <c r="AS341" s="91"/>
      <c r="AT341" s="91"/>
      <c r="AU341" s="91"/>
      <c r="AV341" s="91"/>
      <c r="AW341" s="91"/>
      <c r="AX341" s="91"/>
      <c r="AY341" s="91"/>
      <c r="AZ341" s="91"/>
      <c r="BA341" s="91" t="s">
        <v>792</v>
      </c>
      <c r="BB341" s="426"/>
      <c r="BC341" s="426"/>
      <c r="BD341" s="91" t="s">
        <v>792</v>
      </c>
      <c r="BE341" s="91" t="s">
        <v>927</v>
      </c>
      <c r="BF341" s="426"/>
      <c r="BG341" s="426"/>
      <c r="BH341" s="426"/>
      <c r="BI341" s="426"/>
      <c r="BJ341" s="426"/>
      <c r="BK341" s="426"/>
      <c r="BL341" s="91" t="s">
        <v>792</v>
      </c>
      <c r="BM341" s="426"/>
      <c r="BN341" s="426"/>
      <c r="BO341" s="91" t="s">
        <v>792</v>
      </c>
      <c r="BP341" s="426"/>
      <c r="BQ341" s="426"/>
      <c r="BR341" s="426"/>
    </row>
    <row r="342" spans="2:70" ht="14.7" hidden="1" customHeight="1" outlineLevel="1" x14ac:dyDescent="0.3">
      <c r="B342" s="425">
        <f t="shared" si="8"/>
        <v>52</v>
      </c>
      <c r="C342" s="95" t="s">
        <v>456</v>
      </c>
      <c r="D342" s="429" t="s">
        <v>796</v>
      </c>
      <c r="E342" s="429" t="s">
        <v>797</v>
      </c>
      <c r="F342" s="91"/>
      <c r="G342" s="91"/>
      <c r="H342" s="91"/>
      <c r="I342" s="91"/>
      <c r="J342" s="91"/>
      <c r="K342" s="91"/>
      <c r="L342" s="91"/>
      <c r="M342" s="91"/>
      <c r="N342" s="91"/>
      <c r="O342" s="91"/>
      <c r="P342" s="91"/>
      <c r="Q342" s="457" t="s">
        <v>792</v>
      </c>
      <c r="R342" s="91"/>
      <c r="S342" s="91"/>
      <c r="T342" s="91"/>
      <c r="U342" s="91"/>
      <c r="V342" s="91"/>
      <c r="W342" s="91"/>
      <c r="X342" s="91" t="s">
        <v>927</v>
      </c>
      <c r="Y342" s="91"/>
      <c r="Z342" s="91"/>
      <c r="AA342" s="91"/>
      <c r="AB342" s="91"/>
      <c r="AC342" s="91"/>
      <c r="AD342" s="91"/>
      <c r="AE342" s="91"/>
      <c r="AF342" s="91"/>
      <c r="AG342" s="91"/>
      <c r="AH342" s="91"/>
      <c r="AI342" s="91"/>
      <c r="AJ342" s="91"/>
      <c r="AK342" s="91"/>
      <c r="AL342" s="91"/>
      <c r="AM342" s="91"/>
      <c r="AN342" s="91"/>
      <c r="AO342" s="91"/>
      <c r="AP342" s="91"/>
      <c r="AQ342" s="91"/>
      <c r="AR342" s="91"/>
      <c r="AS342" s="91"/>
      <c r="AT342" s="91"/>
      <c r="AU342" s="91"/>
      <c r="AV342" s="91"/>
      <c r="AW342" s="91"/>
      <c r="AX342" s="91"/>
      <c r="AY342" s="91"/>
      <c r="AZ342" s="91"/>
      <c r="BA342" s="91" t="s">
        <v>792</v>
      </c>
      <c r="BB342" s="426"/>
      <c r="BC342" s="426"/>
      <c r="BD342" s="91" t="s">
        <v>792</v>
      </c>
      <c r="BE342" s="91" t="s">
        <v>927</v>
      </c>
      <c r="BF342" s="426"/>
      <c r="BG342" s="426"/>
      <c r="BH342" s="426"/>
      <c r="BI342" s="426"/>
      <c r="BJ342" s="426"/>
      <c r="BK342" s="426"/>
      <c r="BL342" s="91" t="s">
        <v>792</v>
      </c>
      <c r="BM342" s="426"/>
      <c r="BN342" s="426"/>
      <c r="BO342" s="91" t="s">
        <v>792</v>
      </c>
      <c r="BP342" s="426"/>
      <c r="BQ342" s="426"/>
      <c r="BR342" s="426"/>
    </row>
    <row r="343" spans="2:70" ht="14.7" hidden="1" customHeight="1" outlineLevel="1" x14ac:dyDescent="0.3">
      <c r="B343" s="425">
        <f t="shared" si="8"/>
        <v>53</v>
      </c>
      <c r="C343" s="95" t="s">
        <v>456</v>
      </c>
      <c r="D343" s="429" t="s">
        <v>796</v>
      </c>
      <c r="E343" s="429" t="s">
        <v>797</v>
      </c>
      <c r="F343" s="91"/>
      <c r="G343" s="91"/>
      <c r="H343" s="91"/>
      <c r="I343" s="91"/>
      <c r="J343" s="91"/>
      <c r="K343" s="91"/>
      <c r="L343" s="91"/>
      <c r="M343" s="91"/>
      <c r="N343" s="91"/>
      <c r="O343" s="91"/>
      <c r="P343" s="91"/>
      <c r="Q343" s="457" t="s">
        <v>792</v>
      </c>
      <c r="R343" s="91"/>
      <c r="S343" s="91"/>
      <c r="T343" s="91"/>
      <c r="U343" s="91"/>
      <c r="V343" s="91"/>
      <c r="W343" s="91"/>
      <c r="X343" s="91" t="s">
        <v>927</v>
      </c>
      <c r="Y343" s="91"/>
      <c r="Z343" s="91"/>
      <c r="AA343" s="91"/>
      <c r="AB343" s="91"/>
      <c r="AC343" s="91"/>
      <c r="AD343" s="91"/>
      <c r="AE343" s="91"/>
      <c r="AF343" s="91"/>
      <c r="AG343" s="91"/>
      <c r="AH343" s="91"/>
      <c r="AI343" s="91"/>
      <c r="AJ343" s="91"/>
      <c r="AK343" s="91"/>
      <c r="AL343" s="91"/>
      <c r="AM343" s="91"/>
      <c r="AN343" s="91"/>
      <c r="AO343" s="91"/>
      <c r="AP343" s="91"/>
      <c r="AQ343" s="91"/>
      <c r="AR343" s="91"/>
      <c r="AS343" s="91"/>
      <c r="AT343" s="91"/>
      <c r="AU343" s="91"/>
      <c r="AV343" s="91"/>
      <c r="AW343" s="91"/>
      <c r="AX343" s="91"/>
      <c r="AY343" s="91"/>
      <c r="AZ343" s="91"/>
      <c r="BA343" s="91" t="s">
        <v>792</v>
      </c>
      <c r="BB343" s="426"/>
      <c r="BC343" s="426"/>
      <c r="BD343" s="91" t="s">
        <v>792</v>
      </c>
      <c r="BE343" s="91" t="s">
        <v>927</v>
      </c>
      <c r="BF343" s="426"/>
      <c r="BG343" s="426"/>
      <c r="BH343" s="426"/>
      <c r="BI343" s="426"/>
      <c r="BJ343" s="426"/>
      <c r="BK343" s="426"/>
      <c r="BL343" s="91" t="s">
        <v>792</v>
      </c>
      <c r="BM343" s="426"/>
      <c r="BN343" s="426"/>
      <c r="BO343" s="91" t="s">
        <v>792</v>
      </c>
      <c r="BP343" s="426"/>
      <c r="BQ343" s="426"/>
      <c r="BR343" s="426"/>
    </row>
    <row r="344" spans="2:70" ht="14.7" hidden="1" customHeight="1" outlineLevel="1" x14ac:dyDescent="0.3">
      <c r="B344" s="425">
        <f t="shared" si="8"/>
        <v>54</v>
      </c>
      <c r="C344" s="95" t="s">
        <v>456</v>
      </c>
      <c r="D344" s="429" t="s">
        <v>796</v>
      </c>
      <c r="E344" s="429" t="s">
        <v>797</v>
      </c>
      <c r="F344" s="91"/>
      <c r="G344" s="91"/>
      <c r="H344" s="91"/>
      <c r="I344" s="91"/>
      <c r="J344" s="91"/>
      <c r="K344" s="91"/>
      <c r="L344" s="91"/>
      <c r="M344" s="91"/>
      <c r="N344" s="91"/>
      <c r="O344" s="91"/>
      <c r="P344" s="91"/>
      <c r="Q344" s="457" t="s">
        <v>792</v>
      </c>
      <c r="R344" s="91"/>
      <c r="S344" s="91"/>
      <c r="T344" s="91"/>
      <c r="U344" s="91"/>
      <c r="V344" s="91"/>
      <c r="W344" s="91"/>
      <c r="X344" s="91" t="s">
        <v>927</v>
      </c>
      <c r="Y344" s="91"/>
      <c r="Z344" s="91"/>
      <c r="AA344" s="91"/>
      <c r="AB344" s="91"/>
      <c r="AC344" s="91"/>
      <c r="AD344" s="91"/>
      <c r="AE344" s="91"/>
      <c r="AF344" s="91"/>
      <c r="AG344" s="91"/>
      <c r="AH344" s="91"/>
      <c r="AI344" s="91"/>
      <c r="AJ344" s="91"/>
      <c r="AK344" s="91"/>
      <c r="AL344" s="91"/>
      <c r="AM344" s="91"/>
      <c r="AN344" s="91"/>
      <c r="AO344" s="91"/>
      <c r="AP344" s="91"/>
      <c r="AQ344" s="91"/>
      <c r="AR344" s="91"/>
      <c r="AS344" s="91"/>
      <c r="AT344" s="91"/>
      <c r="AU344" s="91"/>
      <c r="AV344" s="91"/>
      <c r="AW344" s="91"/>
      <c r="AX344" s="91"/>
      <c r="AY344" s="91"/>
      <c r="AZ344" s="91"/>
      <c r="BA344" s="91" t="s">
        <v>792</v>
      </c>
      <c r="BB344" s="426"/>
      <c r="BC344" s="426"/>
      <c r="BD344" s="91" t="s">
        <v>792</v>
      </c>
      <c r="BE344" s="91" t="s">
        <v>927</v>
      </c>
      <c r="BF344" s="426"/>
      <c r="BG344" s="426"/>
      <c r="BH344" s="426"/>
      <c r="BI344" s="426"/>
      <c r="BJ344" s="426"/>
      <c r="BK344" s="426"/>
      <c r="BL344" s="91" t="s">
        <v>792</v>
      </c>
      <c r="BM344" s="426"/>
      <c r="BN344" s="426"/>
      <c r="BO344" s="91" t="s">
        <v>792</v>
      </c>
      <c r="BP344" s="426"/>
      <c r="BQ344" s="426"/>
      <c r="BR344" s="426"/>
    </row>
    <row r="345" spans="2:70" ht="14.7" hidden="1" customHeight="1" outlineLevel="1" x14ac:dyDescent="0.3">
      <c r="B345" s="425">
        <f t="shared" si="8"/>
        <v>55</v>
      </c>
      <c r="C345" s="95" t="s">
        <v>456</v>
      </c>
      <c r="D345" s="429" t="s">
        <v>796</v>
      </c>
      <c r="E345" s="429" t="s">
        <v>797</v>
      </c>
      <c r="F345" s="91"/>
      <c r="G345" s="91"/>
      <c r="H345" s="91"/>
      <c r="I345" s="91"/>
      <c r="J345" s="91"/>
      <c r="K345" s="91"/>
      <c r="L345" s="91"/>
      <c r="M345" s="91"/>
      <c r="N345" s="91"/>
      <c r="O345" s="91"/>
      <c r="P345" s="91"/>
      <c r="Q345" s="457" t="s">
        <v>792</v>
      </c>
      <c r="R345" s="91"/>
      <c r="S345" s="91"/>
      <c r="T345" s="91"/>
      <c r="U345" s="91"/>
      <c r="V345" s="91"/>
      <c r="W345" s="91"/>
      <c r="X345" s="91" t="s">
        <v>927</v>
      </c>
      <c r="Y345" s="91"/>
      <c r="Z345" s="91"/>
      <c r="AA345" s="91"/>
      <c r="AB345" s="91"/>
      <c r="AC345" s="91"/>
      <c r="AD345" s="91"/>
      <c r="AE345" s="91"/>
      <c r="AF345" s="91"/>
      <c r="AG345" s="91"/>
      <c r="AH345" s="91"/>
      <c r="AI345" s="91"/>
      <c r="AJ345" s="91"/>
      <c r="AK345" s="91"/>
      <c r="AL345" s="91"/>
      <c r="AM345" s="91"/>
      <c r="AN345" s="91"/>
      <c r="AO345" s="91"/>
      <c r="AP345" s="91"/>
      <c r="AQ345" s="91"/>
      <c r="AR345" s="91"/>
      <c r="AS345" s="91"/>
      <c r="AT345" s="91"/>
      <c r="AU345" s="91"/>
      <c r="AV345" s="91"/>
      <c r="AW345" s="91"/>
      <c r="AX345" s="91"/>
      <c r="AY345" s="91"/>
      <c r="AZ345" s="91"/>
      <c r="BA345" s="91" t="s">
        <v>792</v>
      </c>
      <c r="BB345" s="426"/>
      <c r="BC345" s="426"/>
      <c r="BD345" s="91" t="s">
        <v>792</v>
      </c>
      <c r="BE345" s="91" t="s">
        <v>927</v>
      </c>
      <c r="BF345" s="426"/>
      <c r="BG345" s="426"/>
      <c r="BH345" s="426"/>
      <c r="BI345" s="426"/>
      <c r="BJ345" s="426"/>
      <c r="BK345" s="426"/>
      <c r="BL345" s="91" t="s">
        <v>792</v>
      </c>
      <c r="BM345" s="426"/>
      <c r="BN345" s="426"/>
      <c r="BO345" s="91" t="s">
        <v>792</v>
      </c>
      <c r="BP345" s="426"/>
      <c r="BQ345" s="426"/>
      <c r="BR345" s="426"/>
    </row>
    <row r="346" spans="2:70" ht="14.7" hidden="1" customHeight="1" outlineLevel="1" x14ac:dyDescent="0.3">
      <c r="B346" s="425">
        <f t="shared" si="8"/>
        <v>56</v>
      </c>
      <c r="C346" s="95" t="s">
        <v>456</v>
      </c>
      <c r="D346" s="429" t="s">
        <v>796</v>
      </c>
      <c r="E346" s="429" t="s">
        <v>797</v>
      </c>
      <c r="F346" s="91"/>
      <c r="G346" s="91"/>
      <c r="H346" s="91"/>
      <c r="I346" s="91"/>
      <c r="J346" s="91"/>
      <c r="K346" s="91"/>
      <c r="L346" s="91"/>
      <c r="M346" s="91"/>
      <c r="N346" s="91"/>
      <c r="O346" s="91"/>
      <c r="P346" s="91"/>
      <c r="Q346" s="457" t="s">
        <v>792</v>
      </c>
      <c r="R346" s="91"/>
      <c r="S346" s="91"/>
      <c r="T346" s="91"/>
      <c r="U346" s="91"/>
      <c r="V346" s="91"/>
      <c r="W346" s="91"/>
      <c r="X346" s="91" t="s">
        <v>927</v>
      </c>
      <c r="Y346" s="91"/>
      <c r="Z346" s="91"/>
      <c r="AA346" s="91"/>
      <c r="AB346" s="91"/>
      <c r="AC346" s="91"/>
      <c r="AD346" s="91"/>
      <c r="AE346" s="91"/>
      <c r="AF346" s="91"/>
      <c r="AG346" s="91"/>
      <c r="AH346" s="91"/>
      <c r="AI346" s="91"/>
      <c r="AJ346" s="91"/>
      <c r="AK346" s="91"/>
      <c r="AL346" s="91"/>
      <c r="AM346" s="91"/>
      <c r="AN346" s="91"/>
      <c r="AO346" s="91"/>
      <c r="AP346" s="91"/>
      <c r="AQ346" s="91"/>
      <c r="AR346" s="91"/>
      <c r="AS346" s="91"/>
      <c r="AT346" s="91"/>
      <c r="AU346" s="91"/>
      <c r="AV346" s="91"/>
      <c r="AW346" s="91"/>
      <c r="AX346" s="91"/>
      <c r="AY346" s="91"/>
      <c r="AZ346" s="91"/>
      <c r="BA346" s="91" t="s">
        <v>792</v>
      </c>
      <c r="BB346" s="426"/>
      <c r="BC346" s="426"/>
      <c r="BD346" s="91" t="s">
        <v>792</v>
      </c>
      <c r="BE346" s="91" t="s">
        <v>927</v>
      </c>
      <c r="BF346" s="426"/>
      <c r="BG346" s="426"/>
      <c r="BH346" s="426"/>
      <c r="BI346" s="426"/>
      <c r="BJ346" s="426"/>
      <c r="BK346" s="426"/>
      <c r="BL346" s="91" t="s">
        <v>792</v>
      </c>
      <c r="BM346" s="426"/>
      <c r="BN346" s="426"/>
      <c r="BO346" s="91" t="s">
        <v>792</v>
      </c>
      <c r="BP346" s="426"/>
      <c r="BQ346" s="426"/>
      <c r="BR346" s="426"/>
    </row>
    <row r="347" spans="2:70" ht="14.7" hidden="1" customHeight="1" outlineLevel="1" x14ac:dyDescent="0.3">
      <c r="B347" s="425">
        <f t="shared" si="8"/>
        <v>57</v>
      </c>
      <c r="C347" s="95" t="s">
        <v>456</v>
      </c>
      <c r="D347" s="429" t="s">
        <v>796</v>
      </c>
      <c r="E347" s="429" t="s">
        <v>797</v>
      </c>
      <c r="F347" s="91"/>
      <c r="G347" s="91"/>
      <c r="H347" s="91"/>
      <c r="I347" s="91"/>
      <c r="J347" s="91"/>
      <c r="K347" s="91"/>
      <c r="L347" s="91"/>
      <c r="M347" s="91"/>
      <c r="N347" s="91"/>
      <c r="O347" s="91"/>
      <c r="P347" s="91"/>
      <c r="Q347" s="457" t="s">
        <v>792</v>
      </c>
      <c r="R347" s="91"/>
      <c r="S347" s="91"/>
      <c r="T347" s="91"/>
      <c r="U347" s="91"/>
      <c r="V347" s="91"/>
      <c r="W347" s="91"/>
      <c r="X347" s="91" t="s">
        <v>927</v>
      </c>
      <c r="Y347" s="91"/>
      <c r="Z347" s="91"/>
      <c r="AA347" s="91"/>
      <c r="AB347" s="91"/>
      <c r="AC347" s="91"/>
      <c r="AD347" s="91"/>
      <c r="AE347" s="91"/>
      <c r="AF347" s="91"/>
      <c r="AG347" s="91"/>
      <c r="AH347" s="91"/>
      <c r="AI347" s="91"/>
      <c r="AJ347" s="91"/>
      <c r="AK347" s="91"/>
      <c r="AL347" s="91"/>
      <c r="AM347" s="91"/>
      <c r="AN347" s="91"/>
      <c r="AO347" s="91"/>
      <c r="AP347" s="91"/>
      <c r="AQ347" s="91"/>
      <c r="AR347" s="91"/>
      <c r="AS347" s="91"/>
      <c r="AT347" s="91"/>
      <c r="AU347" s="91"/>
      <c r="AV347" s="91"/>
      <c r="AW347" s="91"/>
      <c r="AX347" s="91"/>
      <c r="AY347" s="91"/>
      <c r="AZ347" s="91"/>
      <c r="BA347" s="91" t="s">
        <v>792</v>
      </c>
      <c r="BB347" s="426"/>
      <c r="BC347" s="426"/>
      <c r="BD347" s="91" t="s">
        <v>792</v>
      </c>
      <c r="BE347" s="91" t="s">
        <v>927</v>
      </c>
      <c r="BF347" s="426"/>
      <c r="BG347" s="426"/>
      <c r="BH347" s="426"/>
      <c r="BI347" s="426"/>
      <c r="BJ347" s="426"/>
      <c r="BK347" s="426"/>
      <c r="BL347" s="91" t="s">
        <v>792</v>
      </c>
      <c r="BM347" s="426"/>
      <c r="BN347" s="426"/>
      <c r="BO347" s="91" t="s">
        <v>792</v>
      </c>
      <c r="BP347" s="426"/>
      <c r="BQ347" s="426"/>
      <c r="BR347" s="426"/>
    </row>
    <row r="348" spans="2:70" ht="14.7" hidden="1" customHeight="1" outlineLevel="1" x14ac:dyDescent="0.3">
      <c r="B348" s="425">
        <f t="shared" si="8"/>
        <v>58</v>
      </c>
      <c r="C348" s="95" t="s">
        <v>456</v>
      </c>
      <c r="D348" s="429" t="s">
        <v>796</v>
      </c>
      <c r="E348" s="429" t="s">
        <v>797</v>
      </c>
      <c r="F348" s="91"/>
      <c r="G348" s="91"/>
      <c r="H348" s="91"/>
      <c r="I348" s="91"/>
      <c r="J348" s="91"/>
      <c r="K348" s="91"/>
      <c r="L348" s="91"/>
      <c r="M348" s="91"/>
      <c r="N348" s="91"/>
      <c r="O348" s="91"/>
      <c r="P348" s="91"/>
      <c r="Q348" s="457" t="s">
        <v>792</v>
      </c>
      <c r="R348" s="91"/>
      <c r="S348" s="91"/>
      <c r="T348" s="91"/>
      <c r="U348" s="91"/>
      <c r="V348" s="91"/>
      <c r="W348" s="91"/>
      <c r="X348" s="91" t="s">
        <v>927</v>
      </c>
      <c r="Y348" s="91"/>
      <c r="Z348" s="91"/>
      <c r="AA348" s="91"/>
      <c r="AB348" s="91"/>
      <c r="AC348" s="91"/>
      <c r="AD348" s="91"/>
      <c r="AE348" s="91"/>
      <c r="AF348" s="91"/>
      <c r="AG348" s="91"/>
      <c r="AH348" s="91"/>
      <c r="AI348" s="91"/>
      <c r="AJ348" s="91"/>
      <c r="AK348" s="91"/>
      <c r="AL348" s="91"/>
      <c r="AM348" s="91"/>
      <c r="AN348" s="91"/>
      <c r="AO348" s="91"/>
      <c r="AP348" s="91"/>
      <c r="AQ348" s="91"/>
      <c r="AR348" s="91"/>
      <c r="AS348" s="91"/>
      <c r="AT348" s="91"/>
      <c r="AU348" s="91"/>
      <c r="AV348" s="91"/>
      <c r="AW348" s="91"/>
      <c r="AX348" s="91"/>
      <c r="AY348" s="91"/>
      <c r="AZ348" s="91"/>
      <c r="BA348" s="91" t="s">
        <v>792</v>
      </c>
      <c r="BB348" s="426"/>
      <c r="BC348" s="426"/>
      <c r="BD348" s="91" t="s">
        <v>792</v>
      </c>
      <c r="BE348" s="91" t="s">
        <v>927</v>
      </c>
      <c r="BF348" s="426"/>
      <c r="BG348" s="426"/>
      <c r="BH348" s="426"/>
      <c r="BI348" s="426"/>
      <c r="BJ348" s="426"/>
      <c r="BK348" s="426"/>
      <c r="BL348" s="91" t="s">
        <v>792</v>
      </c>
      <c r="BM348" s="426"/>
      <c r="BN348" s="426"/>
      <c r="BO348" s="91" t="s">
        <v>792</v>
      </c>
      <c r="BP348" s="426"/>
      <c r="BQ348" s="426"/>
      <c r="BR348" s="426"/>
    </row>
    <row r="349" spans="2:70" ht="14.7" hidden="1" customHeight="1" outlineLevel="1" x14ac:dyDescent="0.3">
      <c r="B349" s="425">
        <f t="shared" si="8"/>
        <v>59</v>
      </c>
      <c r="C349" s="95" t="s">
        <v>456</v>
      </c>
      <c r="D349" s="429" t="s">
        <v>796</v>
      </c>
      <c r="E349" s="429" t="s">
        <v>797</v>
      </c>
      <c r="F349" s="91"/>
      <c r="G349" s="91"/>
      <c r="H349" s="91"/>
      <c r="I349" s="91"/>
      <c r="J349" s="91"/>
      <c r="K349" s="91"/>
      <c r="L349" s="91"/>
      <c r="M349" s="91"/>
      <c r="N349" s="91"/>
      <c r="O349" s="91"/>
      <c r="P349" s="91"/>
      <c r="Q349" s="457" t="s">
        <v>792</v>
      </c>
      <c r="R349" s="91"/>
      <c r="S349" s="91"/>
      <c r="T349" s="91"/>
      <c r="U349" s="91"/>
      <c r="V349" s="91"/>
      <c r="W349" s="91"/>
      <c r="X349" s="91" t="s">
        <v>927</v>
      </c>
      <c r="Y349" s="91"/>
      <c r="Z349" s="91"/>
      <c r="AA349" s="91"/>
      <c r="AB349" s="91"/>
      <c r="AC349" s="91"/>
      <c r="AD349" s="91"/>
      <c r="AE349" s="91"/>
      <c r="AF349" s="91"/>
      <c r="AG349" s="91"/>
      <c r="AH349" s="91"/>
      <c r="AI349" s="91"/>
      <c r="AJ349" s="91"/>
      <c r="AK349" s="91"/>
      <c r="AL349" s="91"/>
      <c r="AM349" s="91"/>
      <c r="AN349" s="91"/>
      <c r="AO349" s="91"/>
      <c r="AP349" s="91"/>
      <c r="AQ349" s="91"/>
      <c r="AR349" s="91"/>
      <c r="AS349" s="91"/>
      <c r="AT349" s="91"/>
      <c r="AU349" s="91"/>
      <c r="AV349" s="91"/>
      <c r="AW349" s="91"/>
      <c r="AX349" s="91"/>
      <c r="AY349" s="91"/>
      <c r="AZ349" s="91"/>
      <c r="BA349" s="91" t="s">
        <v>792</v>
      </c>
      <c r="BB349" s="426"/>
      <c r="BC349" s="426"/>
      <c r="BD349" s="91" t="s">
        <v>792</v>
      </c>
      <c r="BE349" s="91" t="s">
        <v>927</v>
      </c>
      <c r="BF349" s="426"/>
      <c r="BG349" s="426"/>
      <c r="BH349" s="426"/>
      <c r="BI349" s="426"/>
      <c r="BJ349" s="426"/>
      <c r="BK349" s="426"/>
      <c r="BL349" s="91" t="s">
        <v>792</v>
      </c>
      <c r="BM349" s="426"/>
      <c r="BN349" s="426"/>
      <c r="BO349" s="91" t="s">
        <v>792</v>
      </c>
      <c r="BP349" s="426"/>
      <c r="BQ349" s="426"/>
      <c r="BR349" s="426"/>
    </row>
    <row r="350" spans="2:70" ht="14.7" hidden="1" customHeight="1" outlineLevel="1" x14ac:dyDescent="0.3">
      <c r="B350" s="425">
        <f t="shared" si="8"/>
        <v>60</v>
      </c>
      <c r="C350" s="95" t="s">
        <v>456</v>
      </c>
      <c r="D350" s="429" t="s">
        <v>796</v>
      </c>
      <c r="E350" s="429" t="s">
        <v>797</v>
      </c>
      <c r="F350" s="91"/>
      <c r="G350" s="91"/>
      <c r="H350" s="91"/>
      <c r="I350" s="91"/>
      <c r="J350" s="91"/>
      <c r="K350" s="91"/>
      <c r="L350" s="91"/>
      <c r="M350" s="91"/>
      <c r="N350" s="91"/>
      <c r="O350" s="91"/>
      <c r="P350" s="91"/>
      <c r="Q350" s="457" t="s">
        <v>792</v>
      </c>
      <c r="R350" s="91"/>
      <c r="S350" s="91"/>
      <c r="T350" s="91"/>
      <c r="U350" s="91"/>
      <c r="V350" s="91"/>
      <c r="W350" s="91"/>
      <c r="X350" s="91" t="s">
        <v>927</v>
      </c>
      <c r="Y350" s="91"/>
      <c r="Z350" s="91"/>
      <c r="AA350" s="91"/>
      <c r="AB350" s="91"/>
      <c r="AC350" s="91"/>
      <c r="AD350" s="91"/>
      <c r="AE350" s="91"/>
      <c r="AF350" s="91"/>
      <c r="AG350" s="91"/>
      <c r="AH350" s="91"/>
      <c r="AI350" s="91"/>
      <c r="AJ350" s="91"/>
      <c r="AK350" s="91"/>
      <c r="AL350" s="91"/>
      <c r="AM350" s="91"/>
      <c r="AN350" s="91"/>
      <c r="AO350" s="91"/>
      <c r="AP350" s="91"/>
      <c r="AQ350" s="91"/>
      <c r="AR350" s="91"/>
      <c r="AS350" s="91"/>
      <c r="AT350" s="91"/>
      <c r="AU350" s="91"/>
      <c r="AV350" s="91"/>
      <c r="AW350" s="91"/>
      <c r="AX350" s="91"/>
      <c r="AY350" s="91"/>
      <c r="AZ350" s="91"/>
      <c r="BA350" s="91" t="s">
        <v>792</v>
      </c>
      <c r="BB350" s="426"/>
      <c r="BC350" s="426"/>
      <c r="BD350" s="91" t="s">
        <v>792</v>
      </c>
      <c r="BE350" s="91" t="s">
        <v>927</v>
      </c>
      <c r="BF350" s="426"/>
      <c r="BG350" s="426"/>
      <c r="BH350" s="426"/>
      <c r="BI350" s="426"/>
      <c r="BJ350" s="426"/>
      <c r="BK350" s="426"/>
      <c r="BL350" s="91" t="s">
        <v>792</v>
      </c>
      <c r="BM350" s="426"/>
      <c r="BN350" s="426"/>
      <c r="BO350" s="91" t="s">
        <v>792</v>
      </c>
      <c r="BP350" s="426"/>
      <c r="BQ350" s="426"/>
      <c r="BR350" s="426"/>
    </row>
    <row r="351" spans="2:70" ht="14.7" hidden="1" customHeight="1" outlineLevel="1" x14ac:dyDescent="0.3">
      <c r="B351" s="425">
        <f t="shared" si="8"/>
        <v>61</v>
      </c>
      <c r="C351" s="95" t="s">
        <v>456</v>
      </c>
      <c r="D351" s="429" t="s">
        <v>796</v>
      </c>
      <c r="E351" s="429" t="s">
        <v>797</v>
      </c>
      <c r="F351" s="91"/>
      <c r="G351" s="91"/>
      <c r="H351" s="91"/>
      <c r="I351" s="91"/>
      <c r="J351" s="91"/>
      <c r="K351" s="91"/>
      <c r="L351" s="91"/>
      <c r="M351" s="91"/>
      <c r="N351" s="91"/>
      <c r="O351" s="91"/>
      <c r="P351" s="91"/>
      <c r="Q351" s="457" t="s">
        <v>792</v>
      </c>
      <c r="R351" s="91"/>
      <c r="S351" s="91"/>
      <c r="T351" s="91"/>
      <c r="U351" s="91"/>
      <c r="V351" s="91"/>
      <c r="W351" s="91"/>
      <c r="X351" s="91" t="s">
        <v>927</v>
      </c>
      <c r="Y351" s="91"/>
      <c r="Z351" s="91"/>
      <c r="AA351" s="91"/>
      <c r="AB351" s="91"/>
      <c r="AC351" s="91"/>
      <c r="AD351" s="91"/>
      <c r="AE351" s="91"/>
      <c r="AF351" s="91"/>
      <c r="AG351" s="91"/>
      <c r="AH351" s="91"/>
      <c r="AI351" s="91"/>
      <c r="AJ351" s="91"/>
      <c r="AK351" s="91"/>
      <c r="AL351" s="91"/>
      <c r="AM351" s="91"/>
      <c r="AN351" s="91"/>
      <c r="AO351" s="91"/>
      <c r="AP351" s="91"/>
      <c r="AQ351" s="91"/>
      <c r="AR351" s="91"/>
      <c r="AS351" s="91"/>
      <c r="AT351" s="91"/>
      <c r="AU351" s="91"/>
      <c r="AV351" s="91"/>
      <c r="AW351" s="91"/>
      <c r="AX351" s="91"/>
      <c r="AY351" s="91"/>
      <c r="AZ351" s="91"/>
      <c r="BA351" s="91" t="s">
        <v>792</v>
      </c>
      <c r="BB351" s="426"/>
      <c r="BC351" s="426"/>
      <c r="BD351" s="91" t="s">
        <v>792</v>
      </c>
      <c r="BE351" s="91" t="s">
        <v>927</v>
      </c>
      <c r="BF351" s="426"/>
      <c r="BG351" s="426"/>
      <c r="BH351" s="426"/>
      <c r="BI351" s="426"/>
      <c r="BJ351" s="426"/>
      <c r="BK351" s="426"/>
      <c r="BL351" s="91" t="s">
        <v>792</v>
      </c>
      <c r="BM351" s="426"/>
      <c r="BN351" s="426"/>
      <c r="BO351" s="91" t="s">
        <v>792</v>
      </c>
      <c r="BP351" s="426"/>
      <c r="BQ351" s="426"/>
      <c r="BR351" s="426"/>
    </row>
    <row r="352" spans="2:70" ht="14.7" hidden="1" customHeight="1" outlineLevel="1" x14ac:dyDescent="0.3">
      <c r="B352" s="425">
        <f t="shared" si="8"/>
        <v>62</v>
      </c>
      <c r="C352" s="95" t="s">
        <v>456</v>
      </c>
      <c r="D352" s="429" t="s">
        <v>796</v>
      </c>
      <c r="E352" s="429" t="s">
        <v>797</v>
      </c>
      <c r="F352" s="91"/>
      <c r="G352" s="91"/>
      <c r="H352" s="91"/>
      <c r="I352" s="91"/>
      <c r="J352" s="91"/>
      <c r="K352" s="91"/>
      <c r="L352" s="91"/>
      <c r="M352" s="91"/>
      <c r="N352" s="91"/>
      <c r="O352" s="91"/>
      <c r="P352" s="91"/>
      <c r="Q352" s="457" t="s">
        <v>792</v>
      </c>
      <c r="R352" s="91"/>
      <c r="S352" s="91"/>
      <c r="T352" s="91"/>
      <c r="U352" s="91"/>
      <c r="V352" s="91"/>
      <c r="W352" s="91"/>
      <c r="X352" s="91" t="s">
        <v>927</v>
      </c>
      <c r="Y352" s="91"/>
      <c r="Z352" s="91"/>
      <c r="AA352" s="91"/>
      <c r="AB352" s="91"/>
      <c r="AC352" s="91"/>
      <c r="AD352" s="91"/>
      <c r="AE352" s="91"/>
      <c r="AF352" s="91"/>
      <c r="AG352" s="91"/>
      <c r="AH352" s="91"/>
      <c r="AI352" s="91"/>
      <c r="AJ352" s="91"/>
      <c r="AK352" s="91"/>
      <c r="AL352" s="91"/>
      <c r="AM352" s="91"/>
      <c r="AN352" s="91"/>
      <c r="AO352" s="91"/>
      <c r="AP352" s="91"/>
      <c r="AQ352" s="91"/>
      <c r="AR352" s="91"/>
      <c r="AS352" s="91"/>
      <c r="AT352" s="91"/>
      <c r="AU352" s="91"/>
      <c r="AV352" s="91"/>
      <c r="AW352" s="91"/>
      <c r="AX352" s="91"/>
      <c r="AY352" s="91"/>
      <c r="AZ352" s="91"/>
      <c r="BA352" s="91" t="s">
        <v>792</v>
      </c>
      <c r="BB352" s="426"/>
      <c r="BC352" s="426"/>
      <c r="BD352" s="91" t="s">
        <v>792</v>
      </c>
      <c r="BE352" s="91" t="s">
        <v>927</v>
      </c>
      <c r="BF352" s="426"/>
      <c r="BG352" s="426"/>
      <c r="BH352" s="426"/>
      <c r="BI352" s="426"/>
      <c r="BJ352" s="426"/>
      <c r="BK352" s="426"/>
      <c r="BL352" s="91" t="s">
        <v>792</v>
      </c>
      <c r="BM352" s="426"/>
      <c r="BN352" s="426"/>
      <c r="BO352" s="91" t="s">
        <v>792</v>
      </c>
      <c r="BP352" s="426"/>
      <c r="BQ352" s="426"/>
      <c r="BR352" s="426"/>
    </row>
    <row r="353" spans="2:70" ht="14.7" hidden="1" customHeight="1" outlineLevel="1" x14ac:dyDescent="0.3">
      <c r="B353" s="425">
        <f t="shared" si="8"/>
        <v>63</v>
      </c>
      <c r="C353" s="95" t="s">
        <v>456</v>
      </c>
      <c r="D353" s="429" t="s">
        <v>796</v>
      </c>
      <c r="E353" s="429" t="s">
        <v>797</v>
      </c>
      <c r="F353" s="91"/>
      <c r="G353" s="91"/>
      <c r="H353" s="91"/>
      <c r="I353" s="91"/>
      <c r="J353" s="91"/>
      <c r="K353" s="91"/>
      <c r="L353" s="91"/>
      <c r="M353" s="91"/>
      <c r="N353" s="91"/>
      <c r="O353" s="91"/>
      <c r="P353" s="91"/>
      <c r="Q353" s="457" t="s">
        <v>792</v>
      </c>
      <c r="R353" s="91"/>
      <c r="S353" s="91"/>
      <c r="T353" s="91"/>
      <c r="U353" s="91"/>
      <c r="V353" s="91"/>
      <c r="W353" s="91"/>
      <c r="X353" s="91" t="s">
        <v>927</v>
      </c>
      <c r="Y353" s="91"/>
      <c r="Z353" s="91"/>
      <c r="AA353" s="91"/>
      <c r="AB353" s="91"/>
      <c r="AC353" s="91"/>
      <c r="AD353" s="91"/>
      <c r="AE353" s="91"/>
      <c r="AF353" s="91"/>
      <c r="AG353" s="91"/>
      <c r="AH353" s="91"/>
      <c r="AI353" s="91"/>
      <c r="AJ353" s="91"/>
      <c r="AK353" s="91"/>
      <c r="AL353" s="91"/>
      <c r="AM353" s="91"/>
      <c r="AN353" s="91"/>
      <c r="AO353" s="91"/>
      <c r="AP353" s="91"/>
      <c r="AQ353" s="91"/>
      <c r="AR353" s="91"/>
      <c r="AS353" s="91"/>
      <c r="AT353" s="91"/>
      <c r="AU353" s="91"/>
      <c r="AV353" s="91"/>
      <c r="AW353" s="91"/>
      <c r="AX353" s="91"/>
      <c r="AY353" s="91"/>
      <c r="AZ353" s="91"/>
      <c r="BA353" s="91" t="s">
        <v>792</v>
      </c>
      <c r="BB353" s="426"/>
      <c r="BC353" s="426"/>
      <c r="BD353" s="91" t="s">
        <v>792</v>
      </c>
      <c r="BE353" s="91" t="s">
        <v>927</v>
      </c>
      <c r="BF353" s="426"/>
      <c r="BG353" s="426"/>
      <c r="BH353" s="426"/>
      <c r="BI353" s="426"/>
      <c r="BJ353" s="426"/>
      <c r="BK353" s="426"/>
      <c r="BL353" s="91" t="s">
        <v>792</v>
      </c>
      <c r="BM353" s="426"/>
      <c r="BN353" s="426"/>
      <c r="BO353" s="91" t="s">
        <v>792</v>
      </c>
      <c r="BP353" s="426"/>
      <c r="BQ353" s="426"/>
      <c r="BR353" s="426"/>
    </row>
    <row r="354" spans="2:70" ht="14.7" hidden="1" customHeight="1" outlineLevel="1" x14ac:dyDescent="0.3">
      <c r="B354" s="425">
        <f t="shared" si="8"/>
        <v>64</v>
      </c>
      <c r="C354" s="95" t="s">
        <v>456</v>
      </c>
      <c r="D354" s="429" t="s">
        <v>796</v>
      </c>
      <c r="E354" s="429" t="s">
        <v>797</v>
      </c>
      <c r="F354" s="91"/>
      <c r="G354" s="91"/>
      <c r="H354" s="91"/>
      <c r="I354" s="91"/>
      <c r="J354" s="91"/>
      <c r="K354" s="91"/>
      <c r="L354" s="91"/>
      <c r="M354" s="91"/>
      <c r="N354" s="91"/>
      <c r="O354" s="91"/>
      <c r="P354" s="91"/>
      <c r="Q354" s="457" t="s">
        <v>792</v>
      </c>
      <c r="R354" s="91"/>
      <c r="S354" s="91"/>
      <c r="T354" s="91"/>
      <c r="U354" s="91"/>
      <c r="V354" s="91"/>
      <c r="W354" s="91"/>
      <c r="X354" s="91" t="s">
        <v>927</v>
      </c>
      <c r="Y354" s="91"/>
      <c r="Z354" s="91"/>
      <c r="AA354" s="91"/>
      <c r="AB354" s="91"/>
      <c r="AC354" s="91"/>
      <c r="AD354" s="91"/>
      <c r="AE354" s="91"/>
      <c r="AF354" s="91"/>
      <c r="AG354" s="91"/>
      <c r="AH354" s="91"/>
      <c r="AI354" s="91"/>
      <c r="AJ354" s="91"/>
      <c r="AK354" s="91"/>
      <c r="AL354" s="91"/>
      <c r="AM354" s="91"/>
      <c r="AN354" s="91"/>
      <c r="AO354" s="91"/>
      <c r="AP354" s="91"/>
      <c r="AQ354" s="91"/>
      <c r="AR354" s="91"/>
      <c r="AS354" s="91"/>
      <c r="AT354" s="91"/>
      <c r="AU354" s="91"/>
      <c r="AV354" s="91"/>
      <c r="AW354" s="91"/>
      <c r="AX354" s="91"/>
      <c r="AY354" s="91"/>
      <c r="AZ354" s="91"/>
      <c r="BA354" s="91" t="s">
        <v>792</v>
      </c>
      <c r="BB354" s="426"/>
      <c r="BC354" s="426"/>
      <c r="BD354" s="91" t="s">
        <v>792</v>
      </c>
      <c r="BE354" s="91" t="s">
        <v>927</v>
      </c>
      <c r="BF354" s="426"/>
      <c r="BG354" s="426"/>
      <c r="BH354" s="426"/>
      <c r="BI354" s="426"/>
      <c r="BJ354" s="426"/>
      <c r="BK354" s="426"/>
      <c r="BL354" s="91" t="s">
        <v>792</v>
      </c>
      <c r="BM354" s="426"/>
      <c r="BN354" s="426"/>
      <c r="BO354" s="91" t="s">
        <v>792</v>
      </c>
      <c r="BP354" s="426"/>
      <c r="BQ354" s="426"/>
      <c r="BR354" s="426"/>
    </row>
    <row r="355" spans="2:70" ht="14.7" hidden="1" customHeight="1" outlineLevel="1" x14ac:dyDescent="0.3">
      <c r="B355" s="425">
        <f t="shared" ref="B355:B375" si="9">1+B354</f>
        <v>65</v>
      </c>
      <c r="C355" s="95" t="s">
        <v>456</v>
      </c>
      <c r="D355" s="429" t="s">
        <v>796</v>
      </c>
      <c r="E355" s="429" t="s">
        <v>797</v>
      </c>
      <c r="F355" s="91"/>
      <c r="G355" s="91"/>
      <c r="H355" s="91"/>
      <c r="I355" s="91"/>
      <c r="J355" s="91"/>
      <c r="K355" s="91"/>
      <c r="L355" s="91"/>
      <c r="M355" s="91"/>
      <c r="N355" s="91"/>
      <c r="O355" s="91"/>
      <c r="P355" s="91"/>
      <c r="Q355" s="457" t="s">
        <v>792</v>
      </c>
      <c r="R355" s="91"/>
      <c r="S355" s="91"/>
      <c r="T355" s="91"/>
      <c r="U355" s="91"/>
      <c r="V355" s="91"/>
      <c r="W355" s="91"/>
      <c r="X355" s="91" t="s">
        <v>927</v>
      </c>
      <c r="Y355" s="91"/>
      <c r="Z355" s="91"/>
      <c r="AA355" s="91"/>
      <c r="AB355" s="91"/>
      <c r="AC355" s="91"/>
      <c r="AD355" s="91"/>
      <c r="AE355" s="91"/>
      <c r="AF355" s="91"/>
      <c r="AG355" s="91"/>
      <c r="AH355" s="91"/>
      <c r="AI355" s="91"/>
      <c r="AJ355" s="91"/>
      <c r="AK355" s="91"/>
      <c r="AL355" s="91"/>
      <c r="AM355" s="91"/>
      <c r="AN355" s="91"/>
      <c r="AO355" s="91"/>
      <c r="AP355" s="91"/>
      <c r="AQ355" s="91"/>
      <c r="AR355" s="91"/>
      <c r="AS355" s="91"/>
      <c r="AT355" s="91"/>
      <c r="AU355" s="91"/>
      <c r="AV355" s="91"/>
      <c r="AW355" s="91"/>
      <c r="AX355" s="91"/>
      <c r="AY355" s="91"/>
      <c r="AZ355" s="91"/>
      <c r="BA355" s="91" t="s">
        <v>792</v>
      </c>
      <c r="BB355" s="426"/>
      <c r="BC355" s="426"/>
      <c r="BD355" s="91" t="s">
        <v>792</v>
      </c>
      <c r="BE355" s="91" t="s">
        <v>927</v>
      </c>
      <c r="BF355" s="426"/>
      <c r="BG355" s="426"/>
      <c r="BH355" s="426"/>
      <c r="BI355" s="426"/>
      <c r="BJ355" s="426"/>
      <c r="BK355" s="426"/>
      <c r="BL355" s="91" t="s">
        <v>792</v>
      </c>
      <c r="BM355" s="426"/>
      <c r="BN355" s="426"/>
      <c r="BO355" s="91" t="s">
        <v>792</v>
      </c>
      <c r="BP355" s="426"/>
      <c r="BQ355" s="426"/>
      <c r="BR355" s="426"/>
    </row>
    <row r="356" spans="2:70" ht="14.7" hidden="1" customHeight="1" outlineLevel="1" x14ac:dyDescent="0.3">
      <c r="B356" s="425">
        <f t="shared" si="9"/>
        <v>66</v>
      </c>
      <c r="C356" s="95" t="s">
        <v>456</v>
      </c>
      <c r="D356" s="429" t="s">
        <v>796</v>
      </c>
      <c r="E356" s="429" t="s">
        <v>797</v>
      </c>
      <c r="F356" s="91"/>
      <c r="G356" s="91"/>
      <c r="H356" s="91"/>
      <c r="I356" s="91"/>
      <c r="J356" s="91"/>
      <c r="K356" s="91"/>
      <c r="L356" s="91"/>
      <c r="M356" s="91"/>
      <c r="N356" s="91"/>
      <c r="O356" s="91"/>
      <c r="P356" s="91"/>
      <c r="Q356" s="457" t="s">
        <v>792</v>
      </c>
      <c r="R356" s="91"/>
      <c r="S356" s="91"/>
      <c r="T356" s="91"/>
      <c r="U356" s="91"/>
      <c r="V356" s="91"/>
      <c r="W356" s="91"/>
      <c r="X356" s="91" t="s">
        <v>927</v>
      </c>
      <c r="Y356" s="91"/>
      <c r="Z356" s="91"/>
      <c r="AA356" s="91"/>
      <c r="AB356" s="91"/>
      <c r="AC356" s="91"/>
      <c r="AD356" s="91"/>
      <c r="AE356" s="91"/>
      <c r="AF356" s="91"/>
      <c r="AG356" s="91"/>
      <c r="AH356" s="91"/>
      <c r="AI356" s="91"/>
      <c r="AJ356" s="91"/>
      <c r="AK356" s="91"/>
      <c r="AL356" s="91"/>
      <c r="AM356" s="91"/>
      <c r="AN356" s="91"/>
      <c r="AO356" s="91"/>
      <c r="AP356" s="91"/>
      <c r="AQ356" s="91"/>
      <c r="AR356" s="91"/>
      <c r="AS356" s="91"/>
      <c r="AT356" s="91"/>
      <c r="AU356" s="91"/>
      <c r="AV356" s="91"/>
      <c r="AW356" s="91"/>
      <c r="AX356" s="91"/>
      <c r="AY356" s="91"/>
      <c r="AZ356" s="91"/>
      <c r="BA356" s="91" t="s">
        <v>792</v>
      </c>
      <c r="BB356" s="426"/>
      <c r="BC356" s="426"/>
      <c r="BD356" s="91" t="s">
        <v>792</v>
      </c>
      <c r="BE356" s="91" t="s">
        <v>927</v>
      </c>
      <c r="BF356" s="426"/>
      <c r="BG356" s="426"/>
      <c r="BH356" s="426"/>
      <c r="BI356" s="426"/>
      <c r="BJ356" s="426"/>
      <c r="BK356" s="426"/>
      <c r="BL356" s="91" t="s">
        <v>792</v>
      </c>
      <c r="BM356" s="426"/>
      <c r="BN356" s="426"/>
      <c r="BO356" s="91" t="s">
        <v>792</v>
      </c>
      <c r="BP356" s="426"/>
      <c r="BQ356" s="426"/>
      <c r="BR356" s="426"/>
    </row>
    <row r="357" spans="2:70" ht="14.7" hidden="1" customHeight="1" outlineLevel="1" x14ac:dyDescent="0.3">
      <c r="B357" s="425">
        <f t="shared" si="9"/>
        <v>67</v>
      </c>
      <c r="C357" s="95" t="s">
        <v>456</v>
      </c>
      <c r="D357" s="429" t="s">
        <v>796</v>
      </c>
      <c r="E357" s="429" t="s">
        <v>797</v>
      </c>
      <c r="F357" s="91"/>
      <c r="G357" s="91"/>
      <c r="H357" s="91"/>
      <c r="I357" s="91"/>
      <c r="J357" s="91"/>
      <c r="K357" s="91"/>
      <c r="L357" s="91"/>
      <c r="M357" s="91"/>
      <c r="N357" s="91"/>
      <c r="O357" s="91"/>
      <c r="P357" s="91"/>
      <c r="Q357" s="457" t="s">
        <v>792</v>
      </c>
      <c r="R357" s="91"/>
      <c r="S357" s="91"/>
      <c r="T357" s="91"/>
      <c r="U357" s="91"/>
      <c r="V357" s="91"/>
      <c r="W357" s="91"/>
      <c r="X357" s="91" t="s">
        <v>927</v>
      </c>
      <c r="Y357" s="91"/>
      <c r="Z357" s="91"/>
      <c r="AA357" s="91"/>
      <c r="AB357" s="91"/>
      <c r="AC357" s="91"/>
      <c r="AD357" s="91"/>
      <c r="AE357" s="91"/>
      <c r="AF357" s="91"/>
      <c r="AG357" s="91"/>
      <c r="AH357" s="91"/>
      <c r="AI357" s="91"/>
      <c r="AJ357" s="91"/>
      <c r="AK357" s="91"/>
      <c r="AL357" s="91"/>
      <c r="AM357" s="91"/>
      <c r="AN357" s="91"/>
      <c r="AO357" s="91"/>
      <c r="AP357" s="91"/>
      <c r="AQ357" s="91"/>
      <c r="AR357" s="91"/>
      <c r="AS357" s="91"/>
      <c r="AT357" s="91"/>
      <c r="AU357" s="91"/>
      <c r="AV357" s="91"/>
      <c r="AW357" s="91"/>
      <c r="AX357" s="91"/>
      <c r="AY357" s="91"/>
      <c r="AZ357" s="91"/>
      <c r="BA357" s="91" t="s">
        <v>792</v>
      </c>
      <c r="BB357" s="426"/>
      <c r="BC357" s="426"/>
      <c r="BD357" s="91" t="s">
        <v>792</v>
      </c>
      <c r="BE357" s="91" t="s">
        <v>927</v>
      </c>
      <c r="BF357" s="426"/>
      <c r="BG357" s="426"/>
      <c r="BH357" s="426"/>
      <c r="BI357" s="426"/>
      <c r="BJ357" s="426"/>
      <c r="BK357" s="426"/>
      <c r="BL357" s="91" t="s">
        <v>792</v>
      </c>
      <c r="BM357" s="426"/>
      <c r="BN357" s="426"/>
      <c r="BO357" s="91" t="s">
        <v>792</v>
      </c>
      <c r="BP357" s="426"/>
      <c r="BQ357" s="426"/>
      <c r="BR357" s="426"/>
    </row>
    <row r="358" spans="2:70" ht="14.7" hidden="1" customHeight="1" outlineLevel="1" x14ac:dyDescent="0.3">
      <c r="B358" s="425">
        <f t="shared" si="9"/>
        <v>68</v>
      </c>
      <c r="C358" s="95" t="s">
        <v>456</v>
      </c>
      <c r="D358" s="429" t="s">
        <v>796</v>
      </c>
      <c r="E358" s="429" t="s">
        <v>797</v>
      </c>
      <c r="F358" s="91"/>
      <c r="G358" s="91"/>
      <c r="H358" s="91"/>
      <c r="I358" s="91"/>
      <c r="J358" s="91"/>
      <c r="K358" s="91"/>
      <c r="L358" s="91"/>
      <c r="M358" s="91"/>
      <c r="N358" s="91"/>
      <c r="O358" s="91"/>
      <c r="P358" s="91"/>
      <c r="Q358" s="457" t="s">
        <v>792</v>
      </c>
      <c r="R358" s="91"/>
      <c r="S358" s="91"/>
      <c r="T358" s="91"/>
      <c r="U358" s="91"/>
      <c r="V358" s="91"/>
      <c r="W358" s="91"/>
      <c r="X358" s="91" t="s">
        <v>927</v>
      </c>
      <c r="Y358" s="91"/>
      <c r="Z358" s="91"/>
      <c r="AA358" s="91"/>
      <c r="AB358" s="91"/>
      <c r="AC358" s="91"/>
      <c r="AD358" s="91"/>
      <c r="AE358" s="91"/>
      <c r="AF358" s="91"/>
      <c r="AG358" s="91"/>
      <c r="AH358" s="91"/>
      <c r="AI358" s="91"/>
      <c r="AJ358" s="91"/>
      <c r="AK358" s="91"/>
      <c r="AL358" s="91"/>
      <c r="AM358" s="91"/>
      <c r="AN358" s="91"/>
      <c r="AO358" s="91"/>
      <c r="AP358" s="91"/>
      <c r="AQ358" s="91"/>
      <c r="AR358" s="91"/>
      <c r="AS358" s="91"/>
      <c r="AT358" s="91"/>
      <c r="AU358" s="91"/>
      <c r="AV358" s="91"/>
      <c r="AW358" s="91"/>
      <c r="AX358" s="91"/>
      <c r="AY358" s="91"/>
      <c r="AZ358" s="91"/>
      <c r="BA358" s="91" t="s">
        <v>792</v>
      </c>
      <c r="BB358" s="426"/>
      <c r="BC358" s="426"/>
      <c r="BD358" s="91" t="s">
        <v>792</v>
      </c>
      <c r="BE358" s="91" t="s">
        <v>927</v>
      </c>
      <c r="BF358" s="426"/>
      <c r="BG358" s="426"/>
      <c r="BH358" s="426"/>
      <c r="BI358" s="426"/>
      <c r="BJ358" s="426"/>
      <c r="BK358" s="426"/>
      <c r="BL358" s="91" t="s">
        <v>792</v>
      </c>
      <c r="BM358" s="426"/>
      <c r="BN358" s="426"/>
      <c r="BO358" s="91" t="s">
        <v>792</v>
      </c>
      <c r="BP358" s="426"/>
      <c r="BQ358" s="426"/>
      <c r="BR358" s="426"/>
    </row>
    <row r="359" spans="2:70" ht="14.7" hidden="1" customHeight="1" outlineLevel="1" x14ac:dyDescent="0.3">
      <c r="B359" s="425">
        <f t="shared" si="9"/>
        <v>69</v>
      </c>
      <c r="C359" s="95" t="s">
        <v>456</v>
      </c>
      <c r="D359" s="429" t="s">
        <v>796</v>
      </c>
      <c r="E359" s="429" t="s">
        <v>797</v>
      </c>
      <c r="F359" s="91"/>
      <c r="G359" s="91"/>
      <c r="H359" s="91"/>
      <c r="I359" s="91"/>
      <c r="J359" s="91"/>
      <c r="K359" s="91"/>
      <c r="L359" s="91"/>
      <c r="M359" s="91"/>
      <c r="N359" s="91"/>
      <c r="O359" s="91"/>
      <c r="P359" s="91"/>
      <c r="Q359" s="457" t="s">
        <v>792</v>
      </c>
      <c r="R359" s="91"/>
      <c r="S359" s="91"/>
      <c r="T359" s="91"/>
      <c r="U359" s="91"/>
      <c r="V359" s="91"/>
      <c r="W359" s="91"/>
      <c r="X359" s="91" t="s">
        <v>927</v>
      </c>
      <c r="Y359" s="91"/>
      <c r="Z359" s="91"/>
      <c r="AA359" s="91"/>
      <c r="AB359" s="91"/>
      <c r="AC359" s="91"/>
      <c r="AD359" s="91"/>
      <c r="AE359" s="91"/>
      <c r="AF359" s="91"/>
      <c r="AG359" s="91"/>
      <c r="AH359" s="91"/>
      <c r="AI359" s="91"/>
      <c r="AJ359" s="91"/>
      <c r="AK359" s="91"/>
      <c r="AL359" s="91"/>
      <c r="AM359" s="91"/>
      <c r="AN359" s="91"/>
      <c r="AO359" s="91"/>
      <c r="AP359" s="91"/>
      <c r="AQ359" s="91"/>
      <c r="AR359" s="91"/>
      <c r="AS359" s="91"/>
      <c r="AT359" s="91"/>
      <c r="AU359" s="91"/>
      <c r="AV359" s="91"/>
      <c r="AW359" s="91"/>
      <c r="AX359" s="91"/>
      <c r="AY359" s="91"/>
      <c r="AZ359" s="91"/>
      <c r="BA359" s="91" t="s">
        <v>792</v>
      </c>
      <c r="BB359" s="426"/>
      <c r="BC359" s="426"/>
      <c r="BD359" s="91" t="s">
        <v>792</v>
      </c>
      <c r="BE359" s="91" t="s">
        <v>927</v>
      </c>
      <c r="BF359" s="426"/>
      <c r="BG359" s="426"/>
      <c r="BH359" s="426"/>
      <c r="BI359" s="426"/>
      <c r="BJ359" s="426"/>
      <c r="BK359" s="426"/>
      <c r="BL359" s="91" t="s">
        <v>792</v>
      </c>
      <c r="BM359" s="426"/>
      <c r="BN359" s="426"/>
      <c r="BO359" s="91" t="s">
        <v>792</v>
      </c>
      <c r="BP359" s="426"/>
      <c r="BQ359" s="426"/>
      <c r="BR359" s="426"/>
    </row>
    <row r="360" spans="2:70" ht="14.7" hidden="1" customHeight="1" outlineLevel="1" x14ac:dyDescent="0.3">
      <c r="B360" s="425">
        <f t="shared" si="9"/>
        <v>70</v>
      </c>
      <c r="C360" s="95" t="s">
        <v>456</v>
      </c>
      <c r="D360" s="429" t="s">
        <v>796</v>
      </c>
      <c r="E360" s="429" t="s">
        <v>797</v>
      </c>
      <c r="F360" s="91"/>
      <c r="G360" s="91"/>
      <c r="H360" s="91"/>
      <c r="I360" s="91"/>
      <c r="J360" s="91"/>
      <c r="K360" s="91"/>
      <c r="L360" s="91"/>
      <c r="M360" s="91"/>
      <c r="N360" s="91"/>
      <c r="O360" s="91"/>
      <c r="P360" s="91"/>
      <c r="Q360" s="457" t="s">
        <v>792</v>
      </c>
      <c r="R360" s="91"/>
      <c r="S360" s="91"/>
      <c r="T360" s="91"/>
      <c r="U360" s="91"/>
      <c r="V360" s="91"/>
      <c r="W360" s="91"/>
      <c r="X360" s="91" t="s">
        <v>927</v>
      </c>
      <c r="Y360" s="91"/>
      <c r="Z360" s="91"/>
      <c r="AA360" s="91"/>
      <c r="AB360" s="91"/>
      <c r="AC360" s="91"/>
      <c r="AD360" s="91"/>
      <c r="AE360" s="91"/>
      <c r="AF360" s="91"/>
      <c r="AG360" s="91"/>
      <c r="AH360" s="91"/>
      <c r="AI360" s="91"/>
      <c r="AJ360" s="91"/>
      <c r="AK360" s="91"/>
      <c r="AL360" s="91"/>
      <c r="AM360" s="91"/>
      <c r="AN360" s="91"/>
      <c r="AO360" s="91"/>
      <c r="AP360" s="91"/>
      <c r="AQ360" s="91"/>
      <c r="AR360" s="91"/>
      <c r="AS360" s="91"/>
      <c r="AT360" s="91"/>
      <c r="AU360" s="91"/>
      <c r="AV360" s="91"/>
      <c r="AW360" s="91"/>
      <c r="AX360" s="91"/>
      <c r="AY360" s="91"/>
      <c r="AZ360" s="91"/>
      <c r="BA360" s="91" t="s">
        <v>792</v>
      </c>
      <c r="BB360" s="426"/>
      <c r="BC360" s="426"/>
      <c r="BD360" s="91" t="s">
        <v>792</v>
      </c>
      <c r="BE360" s="91" t="s">
        <v>927</v>
      </c>
      <c r="BF360" s="426"/>
      <c r="BG360" s="426"/>
      <c r="BH360" s="426"/>
      <c r="BI360" s="426"/>
      <c r="BJ360" s="426"/>
      <c r="BK360" s="426"/>
      <c r="BL360" s="91" t="s">
        <v>792</v>
      </c>
      <c r="BM360" s="426"/>
      <c r="BN360" s="426"/>
      <c r="BO360" s="91" t="s">
        <v>792</v>
      </c>
      <c r="BP360" s="426"/>
      <c r="BQ360" s="426"/>
      <c r="BR360" s="426"/>
    </row>
    <row r="361" spans="2:70" ht="14.7" hidden="1" customHeight="1" outlineLevel="1" x14ac:dyDescent="0.3">
      <c r="B361" s="425">
        <f t="shared" si="9"/>
        <v>71</v>
      </c>
      <c r="C361" s="95" t="s">
        <v>456</v>
      </c>
      <c r="D361" s="429" t="s">
        <v>796</v>
      </c>
      <c r="E361" s="429" t="s">
        <v>797</v>
      </c>
      <c r="F361" s="91"/>
      <c r="G361" s="91"/>
      <c r="H361" s="91"/>
      <c r="I361" s="91"/>
      <c r="J361" s="91"/>
      <c r="K361" s="91"/>
      <c r="L361" s="91"/>
      <c r="M361" s="91"/>
      <c r="N361" s="91"/>
      <c r="O361" s="91"/>
      <c r="P361" s="91"/>
      <c r="Q361" s="457" t="s">
        <v>792</v>
      </c>
      <c r="R361" s="91"/>
      <c r="S361" s="91"/>
      <c r="T361" s="91"/>
      <c r="U361" s="91"/>
      <c r="V361" s="91"/>
      <c r="W361" s="91"/>
      <c r="X361" s="91" t="s">
        <v>927</v>
      </c>
      <c r="Y361" s="91"/>
      <c r="Z361" s="91"/>
      <c r="AA361" s="91"/>
      <c r="AB361" s="91"/>
      <c r="AC361" s="91"/>
      <c r="AD361" s="91"/>
      <c r="AE361" s="91"/>
      <c r="AF361" s="91"/>
      <c r="AG361" s="91"/>
      <c r="AH361" s="91"/>
      <c r="AI361" s="91"/>
      <c r="AJ361" s="91"/>
      <c r="AK361" s="91"/>
      <c r="AL361" s="91"/>
      <c r="AM361" s="91"/>
      <c r="AN361" s="91"/>
      <c r="AO361" s="91"/>
      <c r="AP361" s="91"/>
      <c r="AQ361" s="91"/>
      <c r="AR361" s="91"/>
      <c r="AS361" s="91"/>
      <c r="AT361" s="91"/>
      <c r="AU361" s="91"/>
      <c r="AV361" s="91"/>
      <c r="AW361" s="91"/>
      <c r="AX361" s="91"/>
      <c r="AY361" s="91"/>
      <c r="AZ361" s="91"/>
      <c r="BA361" s="91" t="s">
        <v>792</v>
      </c>
      <c r="BB361" s="426"/>
      <c r="BC361" s="426"/>
      <c r="BD361" s="91" t="s">
        <v>792</v>
      </c>
      <c r="BE361" s="91" t="s">
        <v>927</v>
      </c>
      <c r="BF361" s="426"/>
      <c r="BG361" s="426"/>
      <c r="BH361" s="426"/>
      <c r="BI361" s="426"/>
      <c r="BJ361" s="426"/>
      <c r="BK361" s="426"/>
      <c r="BL361" s="91" t="s">
        <v>792</v>
      </c>
      <c r="BM361" s="426"/>
      <c r="BN361" s="426"/>
      <c r="BO361" s="91" t="s">
        <v>792</v>
      </c>
      <c r="BP361" s="426"/>
      <c r="BQ361" s="426"/>
      <c r="BR361" s="426"/>
    </row>
    <row r="362" spans="2:70" ht="14.7" hidden="1" customHeight="1" outlineLevel="1" x14ac:dyDescent="0.3">
      <c r="B362" s="425">
        <f t="shared" si="9"/>
        <v>72</v>
      </c>
      <c r="C362" s="95" t="s">
        <v>456</v>
      </c>
      <c r="D362" s="429" t="s">
        <v>796</v>
      </c>
      <c r="E362" s="429" t="s">
        <v>797</v>
      </c>
      <c r="F362" s="91"/>
      <c r="G362" s="91"/>
      <c r="H362" s="91"/>
      <c r="I362" s="91"/>
      <c r="J362" s="91"/>
      <c r="K362" s="91"/>
      <c r="L362" s="91"/>
      <c r="M362" s="91"/>
      <c r="N362" s="91"/>
      <c r="O362" s="91"/>
      <c r="P362" s="91"/>
      <c r="Q362" s="457" t="s">
        <v>792</v>
      </c>
      <c r="R362" s="91"/>
      <c r="S362" s="91"/>
      <c r="T362" s="91"/>
      <c r="U362" s="91"/>
      <c r="V362" s="91"/>
      <c r="W362" s="91"/>
      <c r="X362" s="91" t="s">
        <v>927</v>
      </c>
      <c r="Y362" s="91"/>
      <c r="Z362" s="91"/>
      <c r="AA362" s="91"/>
      <c r="AB362" s="91"/>
      <c r="AC362" s="91"/>
      <c r="AD362" s="91"/>
      <c r="AE362" s="91"/>
      <c r="AF362" s="91"/>
      <c r="AG362" s="91"/>
      <c r="AH362" s="91"/>
      <c r="AI362" s="91"/>
      <c r="AJ362" s="91"/>
      <c r="AK362" s="91"/>
      <c r="AL362" s="91"/>
      <c r="AM362" s="91"/>
      <c r="AN362" s="91"/>
      <c r="AO362" s="91"/>
      <c r="AP362" s="91"/>
      <c r="AQ362" s="91"/>
      <c r="AR362" s="91"/>
      <c r="AS362" s="91"/>
      <c r="AT362" s="91"/>
      <c r="AU362" s="91"/>
      <c r="AV362" s="91"/>
      <c r="AW362" s="91"/>
      <c r="AX362" s="91"/>
      <c r="AY362" s="91"/>
      <c r="AZ362" s="91"/>
      <c r="BA362" s="91" t="s">
        <v>792</v>
      </c>
      <c r="BB362" s="426"/>
      <c r="BC362" s="426"/>
      <c r="BD362" s="91" t="s">
        <v>792</v>
      </c>
      <c r="BE362" s="91" t="s">
        <v>927</v>
      </c>
      <c r="BF362" s="426"/>
      <c r="BG362" s="426"/>
      <c r="BH362" s="426"/>
      <c r="BI362" s="426"/>
      <c r="BJ362" s="426"/>
      <c r="BK362" s="426"/>
      <c r="BL362" s="91" t="s">
        <v>792</v>
      </c>
      <c r="BM362" s="426"/>
      <c r="BN362" s="426"/>
      <c r="BO362" s="91" t="s">
        <v>792</v>
      </c>
      <c r="BP362" s="426"/>
      <c r="BQ362" s="426"/>
      <c r="BR362" s="426"/>
    </row>
    <row r="363" spans="2:70" ht="14.7" hidden="1" customHeight="1" outlineLevel="1" x14ac:dyDescent="0.3">
      <c r="B363" s="425">
        <f t="shared" si="9"/>
        <v>73</v>
      </c>
      <c r="C363" s="95" t="s">
        <v>456</v>
      </c>
      <c r="D363" s="429" t="s">
        <v>796</v>
      </c>
      <c r="E363" s="429" t="s">
        <v>797</v>
      </c>
      <c r="F363" s="91"/>
      <c r="G363" s="91"/>
      <c r="H363" s="91"/>
      <c r="I363" s="91"/>
      <c r="J363" s="91"/>
      <c r="K363" s="91"/>
      <c r="L363" s="91"/>
      <c r="M363" s="91"/>
      <c r="N363" s="91"/>
      <c r="O363" s="91"/>
      <c r="P363" s="91"/>
      <c r="Q363" s="457" t="s">
        <v>792</v>
      </c>
      <c r="R363" s="91"/>
      <c r="S363" s="91"/>
      <c r="T363" s="91"/>
      <c r="U363" s="91"/>
      <c r="V363" s="91"/>
      <c r="W363" s="91"/>
      <c r="X363" s="91" t="s">
        <v>927</v>
      </c>
      <c r="Y363" s="91"/>
      <c r="Z363" s="91"/>
      <c r="AA363" s="91"/>
      <c r="AB363" s="91"/>
      <c r="AC363" s="91"/>
      <c r="AD363" s="91"/>
      <c r="AE363" s="91"/>
      <c r="AF363" s="91"/>
      <c r="AG363" s="91"/>
      <c r="AH363" s="91"/>
      <c r="AI363" s="91"/>
      <c r="AJ363" s="91"/>
      <c r="AK363" s="91"/>
      <c r="AL363" s="91"/>
      <c r="AM363" s="91"/>
      <c r="AN363" s="91"/>
      <c r="AO363" s="91"/>
      <c r="AP363" s="91"/>
      <c r="AQ363" s="91"/>
      <c r="AR363" s="91"/>
      <c r="AS363" s="91"/>
      <c r="AT363" s="91"/>
      <c r="AU363" s="91"/>
      <c r="AV363" s="91"/>
      <c r="AW363" s="91"/>
      <c r="AX363" s="91"/>
      <c r="AY363" s="91"/>
      <c r="AZ363" s="91"/>
      <c r="BA363" s="91" t="s">
        <v>792</v>
      </c>
      <c r="BB363" s="426"/>
      <c r="BC363" s="426"/>
      <c r="BD363" s="91" t="s">
        <v>792</v>
      </c>
      <c r="BE363" s="91" t="s">
        <v>927</v>
      </c>
      <c r="BF363" s="426"/>
      <c r="BG363" s="426"/>
      <c r="BH363" s="426"/>
      <c r="BI363" s="426"/>
      <c r="BJ363" s="426"/>
      <c r="BK363" s="426"/>
      <c r="BL363" s="91" t="s">
        <v>792</v>
      </c>
      <c r="BM363" s="426"/>
      <c r="BN363" s="426"/>
      <c r="BO363" s="91" t="s">
        <v>792</v>
      </c>
      <c r="BP363" s="426"/>
      <c r="BQ363" s="426"/>
      <c r="BR363" s="426"/>
    </row>
    <row r="364" spans="2:70" ht="14.7" hidden="1" customHeight="1" outlineLevel="1" x14ac:dyDescent="0.3">
      <c r="B364" s="425">
        <f t="shared" si="9"/>
        <v>74</v>
      </c>
      <c r="C364" s="95" t="s">
        <v>456</v>
      </c>
      <c r="D364" s="429" t="s">
        <v>796</v>
      </c>
      <c r="E364" s="429" t="s">
        <v>797</v>
      </c>
      <c r="F364" s="91"/>
      <c r="G364" s="91"/>
      <c r="H364" s="91"/>
      <c r="I364" s="91"/>
      <c r="J364" s="91"/>
      <c r="K364" s="91"/>
      <c r="L364" s="91"/>
      <c r="M364" s="91"/>
      <c r="N364" s="91"/>
      <c r="O364" s="91"/>
      <c r="P364" s="91"/>
      <c r="Q364" s="457" t="s">
        <v>792</v>
      </c>
      <c r="R364" s="91"/>
      <c r="S364" s="91"/>
      <c r="T364" s="91"/>
      <c r="U364" s="91"/>
      <c r="V364" s="91"/>
      <c r="W364" s="91"/>
      <c r="X364" s="91" t="s">
        <v>927</v>
      </c>
      <c r="Y364" s="91"/>
      <c r="Z364" s="91"/>
      <c r="AA364" s="91"/>
      <c r="AB364" s="91"/>
      <c r="AC364" s="91"/>
      <c r="AD364" s="91"/>
      <c r="AE364" s="91"/>
      <c r="AF364" s="91"/>
      <c r="AG364" s="91"/>
      <c r="AH364" s="91"/>
      <c r="AI364" s="91"/>
      <c r="AJ364" s="91"/>
      <c r="AK364" s="91"/>
      <c r="AL364" s="91"/>
      <c r="AM364" s="91"/>
      <c r="AN364" s="91"/>
      <c r="AO364" s="91"/>
      <c r="AP364" s="91"/>
      <c r="AQ364" s="91"/>
      <c r="AR364" s="91"/>
      <c r="AS364" s="91"/>
      <c r="AT364" s="91"/>
      <c r="AU364" s="91"/>
      <c r="AV364" s="91"/>
      <c r="AW364" s="91"/>
      <c r="AX364" s="91"/>
      <c r="AY364" s="91"/>
      <c r="AZ364" s="91"/>
      <c r="BA364" s="91" t="s">
        <v>792</v>
      </c>
      <c r="BB364" s="426"/>
      <c r="BC364" s="426"/>
      <c r="BD364" s="91" t="s">
        <v>792</v>
      </c>
      <c r="BE364" s="91" t="s">
        <v>927</v>
      </c>
      <c r="BF364" s="426"/>
      <c r="BG364" s="426"/>
      <c r="BH364" s="426"/>
      <c r="BI364" s="426"/>
      <c r="BJ364" s="426"/>
      <c r="BK364" s="426"/>
      <c r="BL364" s="91" t="s">
        <v>792</v>
      </c>
      <c r="BM364" s="426"/>
      <c r="BN364" s="426"/>
      <c r="BO364" s="91" t="s">
        <v>792</v>
      </c>
      <c r="BP364" s="426"/>
      <c r="BQ364" s="426"/>
      <c r="BR364" s="426"/>
    </row>
    <row r="365" spans="2:70" ht="14.7" hidden="1" customHeight="1" outlineLevel="1" x14ac:dyDescent="0.3">
      <c r="B365" s="425">
        <f t="shared" si="9"/>
        <v>75</v>
      </c>
      <c r="C365" s="95" t="s">
        <v>456</v>
      </c>
      <c r="D365" s="429" t="s">
        <v>796</v>
      </c>
      <c r="E365" s="429" t="s">
        <v>797</v>
      </c>
      <c r="F365" s="91"/>
      <c r="G365" s="91"/>
      <c r="H365" s="91"/>
      <c r="I365" s="91"/>
      <c r="J365" s="91"/>
      <c r="K365" s="91"/>
      <c r="L365" s="91"/>
      <c r="M365" s="91"/>
      <c r="N365" s="91"/>
      <c r="O365" s="91"/>
      <c r="P365" s="91"/>
      <c r="Q365" s="457" t="s">
        <v>792</v>
      </c>
      <c r="R365" s="91"/>
      <c r="S365" s="91"/>
      <c r="T365" s="91"/>
      <c r="U365" s="91"/>
      <c r="V365" s="91"/>
      <c r="W365" s="91"/>
      <c r="X365" s="91" t="s">
        <v>927</v>
      </c>
      <c r="Y365" s="91"/>
      <c r="Z365" s="91"/>
      <c r="AA365" s="91"/>
      <c r="AB365" s="91"/>
      <c r="AC365" s="91"/>
      <c r="AD365" s="91"/>
      <c r="AE365" s="91"/>
      <c r="AF365" s="91"/>
      <c r="AG365" s="91"/>
      <c r="AH365" s="91"/>
      <c r="AI365" s="91"/>
      <c r="AJ365" s="91"/>
      <c r="AK365" s="91"/>
      <c r="AL365" s="91"/>
      <c r="AM365" s="91"/>
      <c r="AN365" s="91"/>
      <c r="AO365" s="91"/>
      <c r="AP365" s="91"/>
      <c r="AQ365" s="91"/>
      <c r="AR365" s="91"/>
      <c r="AS365" s="91"/>
      <c r="AT365" s="91"/>
      <c r="AU365" s="91"/>
      <c r="AV365" s="91"/>
      <c r="AW365" s="91"/>
      <c r="AX365" s="91"/>
      <c r="AY365" s="91"/>
      <c r="AZ365" s="91"/>
      <c r="BA365" s="91" t="s">
        <v>792</v>
      </c>
      <c r="BB365" s="426"/>
      <c r="BC365" s="426"/>
      <c r="BD365" s="91" t="s">
        <v>792</v>
      </c>
      <c r="BE365" s="91" t="s">
        <v>927</v>
      </c>
      <c r="BF365" s="426"/>
      <c r="BG365" s="426"/>
      <c r="BH365" s="426"/>
      <c r="BI365" s="426"/>
      <c r="BJ365" s="426"/>
      <c r="BK365" s="426"/>
      <c r="BL365" s="91" t="s">
        <v>792</v>
      </c>
      <c r="BM365" s="426"/>
      <c r="BN365" s="426"/>
      <c r="BO365" s="91" t="s">
        <v>792</v>
      </c>
      <c r="BP365" s="426"/>
      <c r="BQ365" s="426"/>
      <c r="BR365" s="426"/>
    </row>
    <row r="366" spans="2:70" ht="14.7" hidden="1" customHeight="1" outlineLevel="1" x14ac:dyDescent="0.3">
      <c r="B366" s="425">
        <f t="shared" si="9"/>
        <v>76</v>
      </c>
      <c r="C366" s="95" t="s">
        <v>456</v>
      </c>
      <c r="D366" s="429" t="s">
        <v>796</v>
      </c>
      <c r="E366" s="429" t="s">
        <v>797</v>
      </c>
      <c r="F366" s="91"/>
      <c r="G366" s="91"/>
      <c r="H366" s="91"/>
      <c r="I366" s="91"/>
      <c r="J366" s="91"/>
      <c r="K366" s="91"/>
      <c r="L366" s="91"/>
      <c r="M366" s="91"/>
      <c r="N366" s="91"/>
      <c r="O366" s="91"/>
      <c r="P366" s="91"/>
      <c r="Q366" s="457" t="s">
        <v>792</v>
      </c>
      <c r="R366" s="91"/>
      <c r="S366" s="91"/>
      <c r="T366" s="91"/>
      <c r="U366" s="91"/>
      <c r="V366" s="91"/>
      <c r="W366" s="91"/>
      <c r="X366" s="91" t="s">
        <v>927</v>
      </c>
      <c r="Y366" s="91"/>
      <c r="Z366" s="91"/>
      <c r="AA366" s="91"/>
      <c r="AB366" s="91"/>
      <c r="AC366" s="91"/>
      <c r="AD366" s="91"/>
      <c r="AE366" s="91"/>
      <c r="AF366" s="91"/>
      <c r="AG366" s="91"/>
      <c r="AH366" s="91"/>
      <c r="AI366" s="91"/>
      <c r="AJ366" s="91"/>
      <c r="AK366" s="91"/>
      <c r="AL366" s="91"/>
      <c r="AM366" s="91"/>
      <c r="AN366" s="91"/>
      <c r="AO366" s="91"/>
      <c r="AP366" s="91"/>
      <c r="AQ366" s="91"/>
      <c r="AR366" s="91"/>
      <c r="AS366" s="91"/>
      <c r="AT366" s="91"/>
      <c r="AU366" s="91"/>
      <c r="AV366" s="91"/>
      <c r="AW366" s="91"/>
      <c r="AX366" s="91"/>
      <c r="AY366" s="91"/>
      <c r="AZ366" s="91"/>
      <c r="BA366" s="91" t="s">
        <v>792</v>
      </c>
      <c r="BB366" s="426"/>
      <c r="BC366" s="426"/>
      <c r="BD366" s="91" t="s">
        <v>792</v>
      </c>
      <c r="BE366" s="91" t="s">
        <v>927</v>
      </c>
      <c r="BF366" s="426"/>
      <c r="BG366" s="426"/>
      <c r="BH366" s="426"/>
      <c r="BI366" s="426"/>
      <c r="BJ366" s="426"/>
      <c r="BK366" s="426"/>
      <c r="BL366" s="91" t="s">
        <v>792</v>
      </c>
      <c r="BM366" s="426"/>
      <c r="BN366" s="426"/>
      <c r="BO366" s="91" t="s">
        <v>792</v>
      </c>
      <c r="BP366" s="426"/>
      <c r="BQ366" s="426"/>
      <c r="BR366" s="426"/>
    </row>
    <row r="367" spans="2:70" ht="14.7" hidden="1" customHeight="1" outlineLevel="1" x14ac:dyDescent="0.3">
      <c r="B367" s="425">
        <f t="shared" si="9"/>
        <v>77</v>
      </c>
      <c r="C367" s="95" t="s">
        <v>456</v>
      </c>
      <c r="D367" s="429" t="s">
        <v>796</v>
      </c>
      <c r="E367" s="429" t="s">
        <v>797</v>
      </c>
      <c r="F367" s="91"/>
      <c r="G367" s="91"/>
      <c r="H367" s="91"/>
      <c r="I367" s="91"/>
      <c r="J367" s="91"/>
      <c r="K367" s="91"/>
      <c r="L367" s="91"/>
      <c r="M367" s="91"/>
      <c r="N367" s="91"/>
      <c r="O367" s="91"/>
      <c r="P367" s="91"/>
      <c r="Q367" s="457" t="s">
        <v>792</v>
      </c>
      <c r="R367" s="91"/>
      <c r="S367" s="91"/>
      <c r="T367" s="91"/>
      <c r="U367" s="91"/>
      <c r="V367" s="91"/>
      <c r="W367" s="91"/>
      <c r="X367" s="91" t="s">
        <v>927</v>
      </c>
      <c r="Y367" s="91"/>
      <c r="Z367" s="91"/>
      <c r="AA367" s="91"/>
      <c r="AB367" s="91"/>
      <c r="AC367" s="91"/>
      <c r="AD367" s="91"/>
      <c r="AE367" s="91"/>
      <c r="AF367" s="91"/>
      <c r="AG367" s="91"/>
      <c r="AH367" s="91"/>
      <c r="AI367" s="91"/>
      <c r="AJ367" s="91"/>
      <c r="AK367" s="91"/>
      <c r="AL367" s="91"/>
      <c r="AM367" s="91"/>
      <c r="AN367" s="91"/>
      <c r="AO367" s="91"/>
      <c r="AP367" s="91"/>
      <c r="AQ367" s="91"/>
      <c r="AR367" s="91"/>
      <c r="AS367" s="91"/>
      <c r="AT367" s="91"/>
      <c r="AU367" s="91"/>
      <c r="AV367" s="91"/>
      <c r="AW367" s="91"/>
      <c r="AX367" s="91"/>
      <c r="AY367" s="91"/>
      <c r="AZ367" s="91"/>
      <c r="BA367" s="91" t="s">
        <v>792</v>
      </c>
      <c r="BB367" s="426"/>
      <c r="BC367" s="426"/>
      <c r="BD367" s="91" t="s">
        <v>792</v>
      </c>
      <c r="BE367" s="91" t="s">
        <v>927</v>
      </c>
      <c r="BF367" s="426"/>
      <c r="BG367" s="426"/>
      <c r="BH367" s="426"/>
      <c r="BI367" s="426"/>
      <c r="BJ367" s="426"/>
      <c r="BK367" s="426"/>
      <c r="BL367" s="91" t="s">
        <v>792</v>
      </c>
      <c r="BM367" s="426"/>
      <c r="BN367" s="426"/>
      <c r="BO367" s="91" t="s">
        <v>792</v>
      </c>
      <c r="BP367" s="426"/>
      <c r="BQ367" s="426"/>
      <c r="BR367" s="426"/>
    </row>
    <row r="368" spans="2:70" ht="14.7" hidden="1" customHeight="1" outlineLevel="1" x14ac:dyDescent="0.3">
      <c r="B368" s="425">
        <f t="shared" si="9"/>
        <v>78</v>
      </c>
      <c r="C368" s="95" t="s">
        <v>456</v>
      </c>
      <c r="D368" s="429" t="s">
        <v>796</v>
      </c>
      <c r="E368" s="429" t="s">
        <v>797</v>
      </c>
      <c r="F368" s="91"/>
      <c r="G368" s="91"/>
      <c r="H368" s="91"/>
      <c r="I368" s="91"/>
      <c r="J368" s="91"/>
      <c r="K368" s="91"/>
      <c r="L368" s="91"/>
      <c r="M368" s="91"/>
      <c r="N368" s="91"/>
      <c r="O368" s="91"/>
      <c r="P368" s="91"/>
      <c r="Q368" s="457" t="s">
        <v>792</v>
      </c>
      <c r="R368" s="91"/>
      <c r="S368" s="91"/>
      <c r="T368" s="91"/>
      <c r="U368" s="91"/>
      <c r="V368" s="91"/>
      <c r="W368" s="91"/>
      <c r="X368" s="91" t="s">
        <v>927</v>
      </c>
      <c r="Y368" s="91"/>
      <c r="Z368" s="91"/>
      <c r="AA368" s="91"/>
      <c r="AB368" s="91"/>
      <c r="AC368" s="91"/>
      <c r="AD368" s="91"/>
      <c r="AE368" s="91"/>
      <c r="AF368" s="91"/>
      <c r="AG368" s="91"/>
      <c r="AH368" s="91"/>
      <c r="AI368" s="91"/>
      <c r="AJ368" s="91"/>
      <c r="AK368" s="91"/>
      <c r="AL368" s="91"/>
      <c r="AM368" s="91"/>
      <c r="AN368" s="91"/>
      <c r="AO368" s="91"/>
      <c r="AP368" s="91"/>
      <c r="AQ368" s="91"/>
      <c r="AR368" s="91"/>
      <c r="AS368" s="91"/>
      <c r="AT368" s="91"/>
      <c r="AU368" s="91"/>
      <c r="AV368" s="91"/>
      <c r="AW368" s="91"/>
      <c r="AX368" s="91"/>
      <c r="AY368" s="91"/>
      <c r="AZ368" s="91"/>
      <c r="BA368" s="91" t="s">
        <v>792</v>
      </c>
      <c r="BB368" s="426"/>
      <c r="BC368" s="426"/>
      <c r="BD368" s="91" t="s">
        <v>792</v>
      </c>
      <c r="BE368" s="91" t="s">
        <v>927</v>
      </c>
      <c r="BF368" s="426"/>
      <c r="BG368" s="426"/>
      <c r="BH368" s="426"/>
      <c r="BI368" s="426"/>
      <c r="BJ368" s="426"/>
      <c r="BK368" s="426"/>
      <c r="BL368" s="91" t="s">
        <v>792</v>
      </c>
      <c r="BM368" s="426"/>
      <c r="BN368" s="426"/>
      <c r="BO368" s="91" t="s">
        <v>792</v>
      </c>
      <c r="BP368" s="426"/>
      <c r="BQ368" s="426"/>
      <c r="BR368" s="426"/>
    </row>
    <row r="369" spans="2:70" ht="14.7" hidden="1" customHeight="1" outlineLevel="1" x14ac:dyDescent="0.3">
      <c r="B369" s="425">
        <f t="shared" si="9"/>
        <v>79</v>
      </c>
      <c r="C369" s="95" t="s">
        <v>456</v>
      </c>
      <c r="D369" s="429" t="s">
        <v>796</v>
      </c>
      <c r="E369" s="429" t="s">
        <v>797</v>
      </c>
      <c r="F369" s="91"/>
      <c r="G369" s="91"/>
      <c r="H369" s="91"/>
      <c r="I369" s="91"/>
      <c r="J369" s="91"/>
      <c r="K369" s="91"/>
      <c r="L369" s="91"/>
      <c r="M369" s="91"/>
      <c r="N369" s="91"/>
      <c r="O369" s="91"/>
      <c r="P369" s="91"/>
      <c r="Q369" s="457" t="s">
        <v>792</v>
      </c>
      <c r="R369" s="91"/>
      <c r="S369" s="91"/>
      <c r="T369" s="91"/>
      <c r="U369" s="91"/>
      <c r="V369" s="91"/>
      <c r="W369" s="91"/>
      <c r="X369" s="91" t="s">
        <v>927</v>
      </c>
      <c r="Y369" s="91"/>
      <c r="Z369" s="91"/>
      <c r="AA369" s="91"/>
      <c r="AB369" s="91"/>
      <c r="AC369" s="91"/>
      <c r="AD369" s="91"/>
      <c r="AE369" s="91"/>
      <c r="AF369" s="91"/>
      <c r="AG369" s="91"/>
      <c r="AH369" s="91"/>
      <c r="AI369" s="91"/>
      <c r="AJ369" s="91"/>
      <c r="AK369" s="91"/>
      <c r="AL369" s="91"/>
      <c r="AM369" s="91"/>
      <c r="AN369" s="91"/>
      <c r="AO369" s="91"/>
      <c r="AP369" s="91"/>
      <c r="AQ369" s="91"/>
      <c r="AR369" s="91"/>
      <c r="AS369" s="91"/>
      <c r="AT369" s="91"/>
      <c r="AU369" s="91"/>
      <c r="AV369" s="91"/>
      <c r="AW369" s="91"/>
      <c r="AX369" s="91"/>
      <c r="AY369" s="91"/>
      <c r="AZ369" s="91"/>
      <c r="BA369" s="91" t="s">
        <v>792</v>
      </c>
      <c r="BB369" s="426"/>
      <c r="BC369" s="426"/>
      <c r="BD369" s="91" t="s">
        <v>792</v>
      </c>
      <c r="BE369" s="91" t="s">
        <v>927</v>
      </c>
      <c r="BF369" s="426"/>
      <c r="BG369" s="426"/>
      <c r="BH369" s="426"/>
      <c r="BI369" s="426"/>
      <c r="BJ369" s="426"/>
      <c r="BK369" s="426"/>
      <c r="BL369" s="91" t="s">
        <v>792</v>
      </c>
      <c r="BM369" s="426"/>
      <c r="BN369" s="426"/>
      <c r="BO369" s="91" t="s">
        <v>792</v>
      </c>
      <c r="BP369" s="426"/>
      <c r="BQ369" s="426"/>
      <c r="BR369" s="426"/>
    </row>
    <row r="370" spans="2:70" ht="14.7" hidden="1" customHeight="1" outlineLevel="1" x14ac:dyDescent="0.3">
      <c r="B370" s="425">
        <f t="shared" si="9"/>
        <v>80</v>
      </c>
      <c r="C370" s="95" t="s">
        <v>456</v>
      </c>
      <c r="D370" s="429" t="s">
        <v>796</v>
      </c>
      <c r="E370" s="429" t="s">
        <v>797</v>
      </c>
      <c r="F370" s="91"/>
      <c r="G370" s="91"/>
      <c r="H370" s="91"/>
      <c r="I370" s="91"/>
      <c r="J370" s="91"/>
      <c r="K370" s="91"/>
      <c r="L370" s="91"/>
      <c r="M370" s="91"/>
      <c r="N370" s="91"/>
      <c r="O370" s="91"/>
      <c r="P370" s="91"/>
      <c r="Q370" s="457" t="s">
        <v>792</v>
      </c>
      <c r="R370" s="91"/>
      <c r="S370" s="91"/>
      <c r="T370" s="91"/>
      <c r="U370" s="91"/>
      <c r="V370" s="91"/>
      <c r="W370" s="91"/>
      <c r="X370" s="91" t="s">
        <v>927</v>
      </c>
      <c r="Y370" s="91"/>
      <c r="Z370" s="91"/>
      <c r="AA370" s="91"/>
      <c r="AB370" s="91"/>
      <c r="AC370" s="91"/>
      <c r="AD370" s="91"/>
      <c r="AE370" s="91"/>
      <c r="AF370" s="91"/>
      <c r="AG370" s="91"/>
      <c r="AH370" s="91"/>
      <c r="AI370" s="91"/>
      <c r="AJ370" s="91"/>
      <c r="AK370" s="91"/>
      <c r="AL370" s="91"/>
      <c r="AM370" s="91"/>
      <c r="AN370" s="91"/>
      <c r="AO370" s="91"/>
      <c r="AP370" s="91"/>
      <c r="AQ370" s="91"/>
      <c r="AR370" s="91"/>
      <c r="AS370" s="91"/>
      <c r="AT370" s="91"/>
      <c r="AU370" s="91"/>
      <c r="AV370" s="91"/>
      <c r="AW370" s="91"/>
      <c r="AX370" s="91"/>
      <c r="AY370" s="91"/>
      <c r="AZ370" s="91"/>
      <c r="BA370" s="91" t="s">
        <v>792</v>
      </c>
      <c r="BB370" s="426"/>
      <c r="BC370" s="426"/>
      <c r="BD370" s="91" t="s">
        <v>792</v>
      </c>
      <c r="BE370" s="91" t="s">
        <v>927</v>
      </c>
      <c r="BF370" s="426"/>
      <c r="BG370" s="426"/>
      <c r="BH370" s="426"/>
      <c r="BI370" s="426"/>
      <c r="BJ370" s="426"/>
      <c r="BK370" s="426"/>
      <c r="BL370" s="91" t="s">
        <v>792</v>
      </c>
      <c r="BM370" s="426"/>
      <c r="BN370" s="426"/>
      <c r="BO370" s="91" t="s">
        <v>792</v>
      </c>
      <c r="BP370" s="426"/>
      <c r="BQ370" s="426"/>
      <c r="BR370" s="426"/>
    </row>
    <row r="371" spans="2:70" ht="14.7" hidden="1" customHeight="1" outlineLevel="1" x14ac:dyDescent="0.3">
      <c r="B371" s="425">
        <f t="shared" si="9"/>
        <v>81</v>
      </c>
      <c r="C371" s="95" t="s">
        <v>456</v>
      </c>
      <c r="D371" s="429" t="s">
        <v>796</v>
      </c>
      <c r="E371" s="429" t="s">
        <v>797</v>
      </c>
      <c r="F371" s="91"/>
      <c r="G371" s="91"/>
      <c r="H371" s="91"/>
      <c r="I371" s="91"/>
      <c r="J371" s="91"/>
      <c r="K371" s="91"/>
      <c r="L371" s="91"/>
      <c r="M371" s="91"/>
      <c r="N371" s="91"/>
      <c r="O371" s="91"/>
      <c r="P371" s="91"/>
      <c r="Q371" s="457" t="s">
        <v>792</v>
      </c>
      <c r="R371" s="91"/>
      <c r="S371" s="91"/>
      <c r="T371" s="91"/>
      <c r="U371" s="91"/>
      <c r="V371" s="91"/>
      <c r="W371" s="91"/>
      <c r="X371" s="91" t="s">
        <v>927</v>
      </c>
      <c r="Y371" s="91"/>
      <c r="Z371" s="91"/>
      <c r="AA371" s="91"/>
      <c r="AB371" s="91"/>
      <c r="AC371" s="91"/>
      <c r="AD371" s="91"/>
      <c r="AE371" s="91"/>
      <c r="AF371" s="91"/>
      <c r="AG371" s="91"/>
      <c r="AH371" s="91"/>
      <c r="AI371" s="91"/>
      <c r="AJ371" s="91"/>
      <c r="AK371" s="91"/>
      <c r="AL371" s="91"/>
      <c r="AM371" s="91"/>
      <c r="AN371" s="91"/>
      <c r="AO371" s="91"/>
      <c r="AP371" s="91"/>
      <c r="AQ371" s="91"/>
      <c r="AR371" s="91"/>
      <c r="AS371" s="91"/>
      <c r="AT371" s="91"/>
      <c r="AU371" s="91"/>
      <c r="AV371" s="91"/>
      <c r="AW371" s="91"/>
      <c r="AX371" s="91"/>
      <c r="AY371" s="91"/>
      <c r="AZ371" s="91"/>
      <c r="BA371" s="91" t="s">
        <v>792</v>
      </c>
      <c r="BB371" s="426"/>
      <c r="BC371" s="426"/>
      <c r="BD371" s="91" t="s">
        <v>792</v>
      </c>
      <c r="BE371" s="91" t="s">
        <v>927</v>
      </c>
      <c r="BF371" s="426"/>
      <c r="BG371" s="426"/>
      <c r="BH371" s="426"/>
      <c r="BI371" s="426"/>
      <c r="BJ371" s="426"/>
      <c r="BK371" s="426"/>
      <c r="BL371" s="91" t="s">
        <v>792</v>
      </c>
      <c r="BM371" s="426"/>
      <c r="BN371" s="426"/>
      <c r="BO371" s="91" t="s">
        <v>792</v>
      </c>
      <c r="BP371" s="426"/>
      <c r="BQ371" s="426"/>
      <c r="BR371" s="426"/>
    </row>
    <row r="372" spans="2:70" ht="14.7" hidden="1" customHeight="1" outlineLevel="1" x14ac:dyDescent="0.3">
      <c r="B372" s="425">
        <f t="shared" si="9"/>
        <v>82</v>
      </c>
      <c r="C372" s="95" t="s">
        <v>456</v>
      </c>
      <c r="D372" s="429" t="s">
        <v>796</v>
      </c>
      <c r="E372" s="429" t="s">
        <v>797</v>
      </c>
      <c r="F372" s="91"/>
      <c r="G372" s="91"/>
      <c r="H372" s="91"/>
      <c r="I372" s="91"/>
      <c r="J372" s="91"/>
      <c r="K372" s="91"/>
      <c r="L372" s="91"/>
      <c r="M372" s="91"/>
      <c r="N372" s="91"/>
      <c r="O372" s="91"/>
      <c r="P372" s="91"/>
      <c r="Q372" s="457" t="s">
        <v>792</v>
      </c>
      <c r="R372" s="91"/>
      <c r="S372" s="91"/>
      <c r="T372" s="91"/>
      <c r="U372" s="91"/>
      <c r="V372" s="91"/>
      <c r="W372" s="91"/>
      <c r="X372" s="91" t="s">
        <v>927</v>
      </c>
      <c r="Y372" s="91"/>
      <c r="Z372" s="91"/>
      <c r="AA372" s="91"/>
      <c r="AB372" s="91"/>
      <c r="AC372" s="91"/>
      <c r="AD372" s="91"/>
      <c r="AE372" s="91"/>
      <c r="AF372" s="91"/>
      <c r="AG372" s="91"/>
      <c r="AH372" s="91"/>
      <c r="AI372" s="91"/>
      <c r="AJ372" s="91"/>
      <c r="AK372" s="91"/>
      <c r="AL372" s="91"/>
      <c r="AM372" s="91"/>
      <c r="AN372" s="91"/>
      <c r="AO372" s="91"/>
      <c r="AP372" s="91"/>
      <c r="AQ372" s="91"/>
      <c r="AR372" s="91"/>
      <c r="AS372" s="91"/>
      <c r="AT372" s="91"/>
      <c r="AU372" s="91"/>
      <c r="AV372" s="91"/>
      <c r="AW372" s="91"/>
      <c r="AX372" s="91"/>
      <c r="AY372" s="91"/>
      <c r="AZ372" s="91"/>
      <c r="BA372" s="91" t="s">
        <v>792</v>
      </c>
      <c r="BB372" s="426"/>
      <c r="BC372" s="426"/>
      <c r="BD372" s="91" t="s">
        <v>792</v>
      </c>
      <c r="BE372" s="91" t="s">
        <v>927</v>
      </c>
      <c r="BF372" s="426"/>
      <c r="BG372" s="426"/>
      <c r="BH372" s="426"/>
      <c r="BI372" s="426"/>
      <c r="BJ372" s="426"/>
      <c r="BK372" s="426"/>
      <c r="BL372" s="91" t="s">
        <v>792</v>
      </c>
      <c r="BM372" s="426"/>
      <c r="BN372" s="426"/>
      <c r="BO372" s="91" t="s">
        <v>792</v>
      </c>
      <c r="BP372" s="426"/>
      <c r="BQ372" s="426"/>
      <c r="BR372" s="426"/>
    </row>
    <row r="373" spans="2:70" ht="14.7" hidden="1" customHeight="1" outlineLevel="1" x14ac:dyDescent="0.3">
      <c r="B373" s="425">
        <f t="shared" si="9"/>
        <v>83</v>
      </c>
      <c r="C373" s="95" t="s">
        <v>456</v>
      </c>
      <c r="D373" s="429" t="s">
        <v>796</v>
      </c>
      <c r="E373" s="429" t="s">
        <v>797</v>
      </c>
      <c r="F373" s="91"/>
      <c r="G373" s="91"/>
      <c r="H373" s="91"/>
      <c r="I373" s="91"/>
      <c r="J373" s="91"/>
      <c r="K373" s="91"/>
      <c r="L373" s="91"/>
      <c r="M373" s="91"/>
      <c r="N373" s="91"/>
      <c r="O373" s="91"/>
      <c r="P373" s="91"/>
      <c r="Q373" s="457" t="s">
        <v>792</v>
      </c>
      <c r="R373" s="91"/>
      <c r="S373" s="91"/>
      <c r="T373" s="91"/>
      <c r="U373" s="91"/>
      <c r="V373" s="91"/>
      <c r="W373" s="91"/>
      <c r="X373" s="91" t="s">
        <v>927</v>
      </c>
      <c r="Y373" s="91"/>
      <c r="Z373" s="91"/>
      <c r="AA373" s="91"/>
      <c r="AB373" s="91"/>
      <c r="AC373" s="91"/>
      <c r="AD373" s="91"/>
      <c r="AE373" s="91"/>
      <c r="AF373" s="91"/>
      <c r="AG373" s="91"/>
      <c r="AH373" s="91"/>
      <c r="AI373" s="91"/>
      <c r="AJ373" s="91"/>
      <c r="AK373" s="91"/>
      <c r="AL373" s="91"/>
      <c r="AM373" s="91"/>
      <c r="AN373" s="91"/>
      <c r="AO373" s="91"/>
      <c r="AP373" s="91"/>
      <c r="AQ373" s="91"/>
      <c r="AR373" s="91"/>
      <c r="AS373" s="91"/>
      <c r="AT373" s="91"/>
      <c r="AU373" s="91"/>
      <c r="AV373" s="91"/>
      <c r="AW373" s="91"/>
      <c r="AX373" s="91"/>
      <c r="AY373" s="91"/>
      <c r="AZ373" s="91"/>
      <c r="BA373" s="91" t="s">
        <v>792</v>
      </c>
      <c r="BB373" s="426"/>
      <c r="BC373" s="426"/>
      <c r="BD373" s="91" t="s">
        <v>792</v>
      </c>
      <c r="BE373" s="91" t="s">
        <v>927</v>
      </c>
      <c r="BF373" s="426"/>
      <c r="BG373" s="426"/>
      <c r="BH373" s="426"/>
      <c r="BI373" s="426"/>
      <c r="BJ373" s="426"/>
      <c r="BK373" s="426"/>
      <c r="BL373" s="91" t="s">
        <v>792</v>
      </c>
      <c r="BM373" s="426"/>
      <c r="BN373" s="426"/>
      <c r="BO373" s="91" t="s">
        <v>792</v>
      </c>
      <c r="BP373" s="426"/>
      <c r="BQ373" s="426"/>
      <c r="BR373" s="426"/>
    </row>
    <row r="374" spans="2:70" ht="14.7" hidden="1" customHeight="1" outlineLevel="1" x14ac:dyDescent="0.3">
      <c r="B374" s="425">
        <f t="shared" si="9"/>
        <v>84</v>
      </c>
      <c r="C374" s="95" t="s">
        <v>456</v>
      </c>
      <c r="D374" s="429" t="s">
        <v>796</v>
      </c>
      <c r="E374" s="429" t="s">
        <v>797</v>
      </c>
      <c r="F374" s="91"/>
      <c r="G374" s="91"/>
      <c r="H374" s="91"/>
      <c r="I374" s="91"/>
      <c r="J374" s="91"/>
      <c r="K374" s="91"/>
      <c r="L374" s="91"/>
      <c r="M374" s="91"/>
      <c r="N374" s="91"/>
      <c r="O374" s="91"/>
      <c r="P374" s="91"/>
      <c r="Q374" s="457" t="s">
        <v>792</v>
      </c>
      <c r="R374" s="91"/>
      <c r="S374" s="91"/>
      <c r="T374" s="91"/>
      <c r="U374" s="91"/>
      <c r="V374" s="91"/>
      <c r="W374" s="91"/>
      <c r="X374" s="91" t="s">
        <v>927</v>
      </c>
      <c r="Y374" s="91"/>
      <c r="Z374" s="91"/>
      <c r="AA374" s="91"/>
      <c r="AB374" s="91"/>
      <c r="AC374" s="91"/>
      <c r="AD374" s="91"/>
      <c r="AE374" s="91"/>
      <c r="AF374" s="91"/>
      <c r="AG374" s="91"/>
      <c r="AH374" s="91"/>
      <c r="AI374" s="91"/>
      <c r="AJ374" s="91"/>
      <c r="AK374" s="91"/>
      <c r="AL374" s="91"/>
      <c r="AM374" s="91"/>
      <c r="AN374" s="91"/>
      <c r="AO374" s="91"/>
      <c r="AP374" s="91"/>
      <c r="AQ374" s="91"/>
      <c r="AR374" s="91"/>
      <c r="AS374" s="91"/>
      <c r="AT374" s="91"/>
      <c r="AU374" s="91"/>
      <c r="AV374" s="91"/>
      <c r="AW374" s="91"/>
      <c r="AX374" s="91"/>
      <c r="AY374" s="91"/>
      <c r="AZ374" s="91"/>
      <c r="BA374" s="91" t="s">
        <v>792</v>
      </c>
      <c r="BB374" s="426"/>
      <c r="BC374" s="426"/>
      <c r="BD374" s="91" t="s">
        <v>792</v>
      </c>
      <c r="BE374" s="91" t="s">
        <v>927</v>
      </c>
      <c r="BF374" s="426"/>
      <c r="BG374" s="426"/>
      <c r="BH374" s="426"/>
      <c r="BI374" s="426"/>
      <c r="BJ374" s="426"/>
      <c r="BK374" s="426"/>
      <c r="BL374" s="91" t="s">
        <v>792</v>
      </c>
      <c r="BM374" s="426"/>
      <c r="BN374" s="426"/>
      <c r="BO374" s="91" t="s">
        <v>792</v>
      </c>
      <c r="BP374" s="426"/>
      <c r="BQ374" s="426"/>
      <c r="BR374" s="426"/>
    </row>
    <row r="375" spans="2:70" ht="14.4" hidden="1" x14ac:dyDescent="0.3">
      <c r="B375" s="425">
        <f t="shared" si="9"/>
        <v>85</v>
      </c>
      <c r="C375" s="95" t="s">
        <v>456</v>
      </c>
      <c r="D375" s="429" t="s">
        <v>796</v>
      </c>
      <c r="E375" s="429" t="s">
        <v>797</v>
      </c>
      <c r="F375" s="91"/>
      <c r="G375" s="91"/>
      <c r="H375" s="91"/>
      <c r="I375" s="91"/>
      <c r="J375" s="91"/>
      <c r="K375" s="91"/>
      <c r="L375" s="91"/>
      <c r="M375" s="91"/>
      <c r="N375" s="91"/>
      <c r="O375" s="91"/>
      <c r="P375" s="91"/>
      <c r="Q375" s="457" t="s">
        <v>792</v>
      </c>
      <c r="R375" s="91"/>
      <c r="S375" s="91"/>
      <c r="T375" s="91"/>
      <c r="U375" s="91"/>
      <c r="V375" s="91"/>
      <c r="W375" s="91"/>
      <c r="X375" s="91" t="s">
        <v>927</v>
      </c>
      <c r="Y375" s="91"/>
      <c r="Z375" s="91"/>
      <c r="AA375" s="91"/>
      <c r="AB375" s="91"/>
      <c r="AC375" s="91"/>
      <c r="AD375" s="91"/>
      <c r="AE375" s="91"/>
      <c r="AF375" s="91"/>
      <c r="AG375" s="91"/>
      <c r="AH375" s="91"/>
      <c r="AI375" s="91"/>
      <c r="AJ375" s="91"/>
      <c r="AK375" s="91"/>
      <c r="AL375" s="91"/>
      <c r="AM375" s="91"/>
      <c r="AN375" s="91"/>
      <c r="AO375" s="91"/>
      <c r="AP375" s="91"/>
      <c r="AQ375" s="91"/>
      <c r="AR375" s="91"/>
      <c r="AS375" s="91"/>
      <c r="AT375" s="91"/>
      <c r="AU375" s="91"/>
      <c r="AV375" s="91"/>
      <c r="AW375" s="91"/>
      <c r="AX375" s="91"/>
      <c r="AY375" s="91"/>
      <c r="AZ375" s="91"/>
      <c r="BA375" s="91" t="s">
        <v>792</v>
      </c>
      <c r="BB375" s="426"/>
      <c r="BC375" s="426"/>
      <c r="BD375" s="91" t="s">
        <v>792</v>
      </c>
      <c r="BE375" s="91" t="s">
        <v>927</v>
      </c>
      <c r="BF375" s="426"/>
      <c r="BG375" s="426"/>
      <c r="BH375" s="426"/>
      <c r="BI375" s="426"/>
      <c r="BJ375" s="426"/>
      <c r="BK375" s="426"/>
      <c r="BL375" s="91" t="s">
        <v>792</v>
      </c>
      <c r="BM375" s="426"/>
      <c r="BN375" s="426"/>
      <c r="BO375" s="91" t="s">
        <v>792</v>
      </c>
      <c r="BP375" s="426"/>
      <c r="BQ375" s="426"/>
      <c r="BR375" s="426"/>
    </row>
    <row r="376" spans="2:70" x14ac:dyDescent="0.2">
      <c r="D376" s="103"/>
      <c r="E376" s="103"/>
      <c r="V376" t="s">
        <v>954</v>
      </c>
      <c r="Y376" t="s">
        <v>954</v>
      </c>
      <c r="AB376" t="s">
        <v>954</v>
      </c>
      <c r="AE376" t="s">
        <v>954</v>
      </c>
      <c r="AG376" t="s">
        <v>955</v>
      </c>
    </row>
    <row r="377" spans="2:70" x14ac:dyDescent="0.2">
      <c r="V377" t="s">
        <v>957</v>
      </c>
      <c r="Y377" t="s">
        <v>957</v>
      </c>
      <c r="AB377" t="s">
        <v>957</v>
      </c>
      <c r="AE377" t="s">
        <v>957</v>
      </c>
    </row>
    <row r="378" spans="2:70" ht="12" x14ac:dyDescent="0.2">
      <c r="C378" s="129" t="s">
        <v>1043</v>
      </c>
      <c r="BB378" s="458"/>
      <c r="BC378" s="458"/>
      <c r="BD378" s="458"/>
      <c r="BE378" s="458"/>
      <c r="BF378" s="458"/>
      <c r="BG378" s="458"/>
      <c r="BH378" s="458"/>
    </row>
    <row r="379" spans="2:70" x14ac:dyDescent="0.2">
      <c r="C379" s="252" t="s">
        <v>956</v>
      </c>
    </row>
    <row r="380" spans="2:70" x14ac:dyDescent="0.2">
      <c r="C380" t="s">
        <v>798</v>
      </c>
    </row>
    <row r="382" spans="2:70" x14ac:dyDescent="0.2">
      <c r="D382" s="437"/>
      <c r="E382" s="437"/>
      <c r="F382" s="437"/>
      <c r="G382" s="438"/>
    </row>
    <row r="383" spans="2:70" ht="15.6" x14ac:dyDescent="0.2">
      <c r="C383" s="9" t="s">
        <v>851</v>
      </c>
      <c r="D383" s="437"/>
      <c r="E383" s="437"/>
      <c r="F383" s="437"/>
      <c r="G383" s="438"/>
    </row>
    <row r="384" spans="2:70" ht="13.2" x14ac:dyDescent="0.2">
      <c r="C384" s="436" t="s">
        <v>852</v>
      </c>
      <c r="D384" s="437"/>
      <c r="E384" s="437"/>
      <c r="F384" s="437"/>
      <c r="G384" s="438"/>
    </row>
    <row r="385" spans="1:75" ht="13.2" x14ac:dyDescent="0.2">
      <c r="C385" s="436" t="s">
        <v>853</v>
      </c>
    </row>
    <row r="386" spans="1:75" ht="21" x14ac:dyDescent="0.2">
      <c r="C386" s="436" t="s">
        <v>854</v>
      </c>
      <c r="AS386" s="439"/>
      <c r="AT386" s="439"/>
      <c r="AU386" s="439"/>
      <c r="AV386" s="439"/>
      <c r="AW386" s="439"/>
      <c r="AX386" s="439"/>
      <c r="AY386" s="439"/>
      <c r="AZ386" s="439"/>
      <c r="BA386" s="439"/>
      <c r="BB386" s="439"/>
      <c r="BC386" s="439"/>
      <c r="BD386" s="439"/>
      <c r="BE386" s="439"/>
      <c r="BF386" s="439"/>
      <c r="BG386" s="439"/>
      <c r="BH386" s="439"/>
      <c r="BI386" s="439"/>
      <c r="BJ386" s="439"/>
      <c r="BK386" s="439"/>
      <c r="BL386" s="439"/>
      <c r="BM386" s="439"/>
      <c r="BN386" s="439"/>
      <c r="BO386" s="439"/>
    </row>
    <row r="387" spans="1:75" x14ac:dyDescent="0.2">
      <c r="C387">
        <v>1</v>
      </c>
      <c r="D387">
        <f>C387+1</f>
        <v>2</v>
      </c>
      <c r="E387">
        <f t="shared" ref="E387:BP387" si="10">D387+1</f>
        <v>3</v>
      </c>
      <c r="F387">
        <f t="shared" si="10"/>
        <v>4</v>
      </c>
      <c r="G387">
        <f t="shared" si="10"/>
        <v>5</v>
      </c>
      <c r="H387">
        <f t="shared" si="10"/>
        <v>6</v>
      </c>
      <c r="I387">
        <f t="shared" si="10"/>
        <v>7</v>
      </c>
      <c r="J387">
        <f t="shared" si="10"/>
        <v>8</v>
      </c>
      <c r="K387">
        <f t="shared" si="10"/>
        <v>9</v>
      </c>
      <c r="L387">
        <f t="shared" si="10"/>
        <v>10</v>
      </c>
      <c r="M387">
        <f t="shared" si="10"/>
        <v>11</v>
      </c>
      <c r="N387">
        <f t="shared" si="10"/>
        <v>12</v>
      </c>
      <c r="O387">
        <f t="shared" si="10"/>
        <v>13</v>
      </c>
      <c r="P387">
        <f t="shared" si="10"/>
        <v>14</v>
      </c>
      <c r="Q387">
        <f t="shared" si="10"/>
        <v>15</v>
      </c>
      <c r="R387">
        <f t="shared" si="10"/>
        <v>16</v>
      </c>
      <c r="S387">
        <f t="shared" si="10"/>
        <v>17</v>
      </c>
      <c r="T387">
        <f t="shared" si="10"/>
        <v>18</v>
      </c>
      <c r="U387">
        <f t="shared" si="10"/>
        <v>19</v>
      </c>
      <c r="V387">
        <f t="shared" si="10"/>
        <v>20</v>
      </c>
      <c r="W387">
        <f t="shared" si="10"/>
        <v>21</v>
      </c>
      <c r="X387">
        <f t="shared" si="10"/>
        <v>22</v>
      </c>
      <c r="Y387">
        <f t="shared" si="10"/>
        <v>23</v>
      </c>
      <c r="Z387">
        <f t="shared" si="10"/>
        <v>24</v>
      </c>
      <c r="AA387">
        <f t="shared" si="10"/>
        <v>25</v>
      </c>
      <c r="AB387">
        <f t="shared" si="10"/>
        <v>26</v>
      </c>
      <c r="AC387">
        <f t="shared" si="10"/>
        <v>27</v>
      </c>
      <c r="AD387">
        <f t="shared" si="10"/>
        <v>28</v>
      </c>
      <c r="AE387">
        <f t="shared" si="10"/>
        <v>29</v>
      </c>
      <c r="AF387">
        <f t="shared" si="10"/>
        <v>30</v>
      </c>
      <c r="AG387">
        <f t="shared" si="10"/>
        <v>31</v>
      </c>
      <c r="AH387">
        <f t="shared" si="10"/>
        <v>32</v>
      </c>
      <c r="AI387">
        <f t="shared" si="10"/>
        <v>33</v>
      </c>
      <c r="AJ387">
        <f t="shared" si="10"/>
        <v>34</v>
      </c>
      <c r="AK387">
        <f t="shared" si="10"/>
        <v>35</v>
      </c>
      <c r="AL387">
        <f t="shared" si="10"/>
        <v>36</v>
      </c>
      <c r="AM387">
        <f t="shared" si="10"/>
        <v>37</v>
      </c>
      <c r="AN387">
        <f t="shared" si="10"/>
        <v>38</v>
      </c>
      <c r="AO387">
        <f t="shared" si="10"/>
        <v>39</v>
      </c>
      <c r="AP387">
        <f t="shared" si="10"/>
        <v>40</v>
      </c>
      <c r="AQ387">
        <f t="shared" si="10"/>
        <v>41</v>
      </c>
      <c r="AR387">
        <f t="shared" si="10"/>
        <v>42</v>
      </c>
      <c r="AS387">
        <f t="shared" si="10"/>
        <v>43</v>
      </c>
      <c r="AT387">
        <f t="shared" si="10"/>
        <v>44</v>
      </c>
      <c r="AU387">
        <f t="shared" si="10"/>
        <v>45</v>
      </c>
      <c r="AV387">
        <f t="shared" si="10"/>
        <v>46</v>
      </c>
      <c r="AW387">
        <f t="shared" si="10"/>
        <v>47</v>
      </c>
      <c r="AX387">
        <f t="shared" si="10"/>
        <v>48</v>
      </c>
      <c r="AY387">
        <f t="shared" si="10"/>
        <v>49</v>
      </c>
      <c r="AZ387">
        <f t="shared" si="10"/>
        <v>50</v>
      </c>
      <c r="BA387">
        <f t="shared" si="10"/>
        <v>51</v>
      </c>
      <c r="BB387">
        <f t="shared" si="10"/>
        <v>52</v>
      </c>
      <c r="BC387">
        <f t="shared" si="10"/>
        <v>53</v>
      </c>
      <c r="BD387">
        <f t="shared" si="10"/>
        <v>54</v>
      </c>
      <c r="BE387">
        <f t="shared" si="10"/>
        <v>55</v>
      </c>
      <c r="BF387">
        <f t="shared" si="10"/>
        <v>56</v>
      </c>
      <c r="BG387">
        <f t="shared" si="10"/>
        <v>57</v>
      </c>
      <c r="BH387">
        <f t="shared" si="10"/>
        <v>58</v>
      </c>
      <c r="BI387">
        <f t="shared" si="10"/>
        <v>59</v>
      </c>
      <c r="BJ387">
        <f t="shared" si="10"/>
        <v>60</v>
      </c>
      <c r="BK387">
        <f t="shared" si="10"/>
        <v>61</v>
      </c>
      <c r="BL387">
        <f t="shared" si="10"/>
        <v>62</v>
      </c>
      <c r="BM387">
        <f t="shared" si="10"/>
        <v>63</v>
      </c>
      <c r="BN387">
        <f t="shared" si="10"/>
        <v>64</v>
      </c>
      <c r="BO387">
        <f t="shared" si="10"/>
        <v>65</v>
      </c>
      <c r="BP387">
        <f t="shared" si="10"/>
        <v>66</v>
      </c>
      <c r="BQ387">
        <f t="shared" ref="BQ387:BW387" si="11">BP387+1</f>
        <v>67</v>
      </c>
      <c r="BR387">
        <f t="shared" si="11"/>
        <v>68</v>
      </c>
      <c r="BS387">
        <f t="shared" si="11"/>
        <v>69</v>
      </c>
      <c r="BT387">
        <f t="shared" si="11"/>
        <v>70</v>
      </c>
      <c r="BU387">
        <f t="shared" si="11"/>
        <v>71</v>
      </c>
      <c r="BV387">
        <f t="shared" si="11"/>
        <v>72</v>
      </c>
      <c r="BW387">
        <f t="shared" si="11"/>
        <v>73</v>
      </c>
    </row>
    <row r="388" spans="1:75" ht="21.6" thickBot="1" x14ac:dyDescent="0.35">
      <c r="B388" s="425"/>
      <c r="C388" s="101" t="s">
        <v>855</v>
      </c>
      <c r="F388" s="442" t="s">
        <v>856</v>
      </c>
      <c r="G388" s="443"/>
      <c r="H388" s="443"/>
      <c r="I388" s="443"/>
      <c r="J388" s="443"/>
      <c r="K388" s="443"/>
      <c r="L388" s="443"/>
      <c r="M388" s="443"/>
      <c r="N388" s="443"/>
      <c r="O388" s="443"/>
      <c r="P388" s="443"/>
      <c r="Q388" s="443"/>
      <c r="R388" s="443"/>
      <c r="S388" s="443"/>
      <c r="T388" s="443"/>
      <c r="U388" s="443"/>
      <c r="V388" s="443"/>
      <c r="W388" s="443"/>
      <c r="X388" s="443"/>
      <c r="Y388" s="443"/>
      <c r="Z388" s="443"/>
      <c r="AA388" s="443"/>
      <c r="AB388" s="443"/>
      <c r="AC388" s="443"/>
      <c r="AD388" s="443"/>
      <c r="AE388" s="443"/>
      <c r="AF388" s="443"/>
      <c r="AG388" s="443"/>
      <c r="AH388" s="443"/>
      <c r="AI388" s="443"/>
      <c r="AJ388" s="443"/>
      <c r="AK388" s="443"/>
      <c r="AL388" s="443"/>
      <c r="AM388" s="443"/>
      <c r="AN388" s="443"/>
      <c r="AO388" s="443"/>
      <c r="AP388" s="443"/>
      <c r="AQ388" s="443"/>
      <c r="AR388" s="443"/>
      <c r="AS388" s="443"/>
      <c r="AT388" s="443"/>
      <c r="AU388" s="443"/>
      <c r="AV388" s="443"/>
      <c r="AW388" s="443"/>
      <c r="AX388" s="443"/>
      <c r="AY388" s="443"/>
      <c r="AZ388" s="443"/>
      <c r="BA388" s="534"/>
      <c r="BB388" s="534"/>
      <c r="BC388" s="534"/>
      <c r="BD388" s="534"/>
      <c r="BE388" s="534"/>
      <c r="BF388" s="534"/>
      <c r="BG388" s="534"/>
      <c r="BH388" s="534"/>
      <c r="BI388" s="534"/>
      <c r="BJ388" s="534"/>
      <c r="BK388" s="534"/>
      <c r="BL388" s="534"/>
      <c r="BM388" s="534"/>
      <c r="BN388" s="487"/>
      <c r="BO388" s="487"/>
      <c r="BP388" s="487"/>
      <c r="BQ388" s="487"/>
      <c r="BR388" s="487"/>
    </row>
    <row r="389" spans="1:75" ht="30.45" customHeight="1" thickBot="1" x14ac:dyDescent="0.35">
      <c r="B389" s="425"/>
      <c r="C389" s="415">
        <v>2025</v>
      </c>
      <c r="F389" s="444" t="s">
        <v>857</v>
      </c>
      <c r="G389" s="445"/>
      <c r="H389" s="536" t="s">
        <v>858</v>
      </c>
      <c r="I389" s="543"/>
      <c r="J389" s="536" t="s">
        <v>605</v>
      </c>
      <c r="K389" s="537"/>
      <c r="L389" s="543"/>
      <c r="M389" s="544" t="s">
        <v>859</v>
      </c>
      <c r="N389" s="545"/>
      <c r="O389" s="544" t="s">
        <v>860</v>
      </c>
      <c r="P389" s="545"/>
      <c r="Q389" s="545"/>
      <c r="R389" s="545"/>
      <c r="S389" s="545"/>
      <c r="T389" s="545"/>
      <c r="U389" s="536" t="s">
        <v>861</v>
      </c>
      <c r="V389" s="537"/>
      <c r="W389" s="543"/>
      <c r="X389" s="536" t="s">
        <v>862</v>
      </c>
      <c r="Y389" s="537"/>
      <c r="Z389" s="537"/>
      <c r="AA389" s="537"/>
      <c r="AB389" s="537"/>
      <c r="AC389" s="537"/>
      <c r="AD389" s="537"/>
      <c r="AE389" s="537"/>
      <c r="AF389" s="537"/>
      <c r="AG389" s="446" t="s">
        <v>863</v>
      </c>
      <c r="AH389" s="447"/>
      <c r="AI389" s="447"/>
      <c r="AJ389" s="447"/>
      <c r="AK389" s="447"/>
      <c r="AL389" s="447"/>
      <c r="AM389" s="447"/>
      <c r="AN389" s="447"/>
      <c r="AO389" s="447"/>
      <c r="AP389" s="447"/>
      <c r="AQ389" s="447"/>
      <c r="AR389" s="447"/>
      <c r="AS389" s="447"/>
      <c r="AT389" s="447"/>
      <c r="AU389" s="447"/>
      <c r="AV389" s="488"/>
      <c r="AW389" s="546" t="s">
        <v>864</v>
      </c>
      <c r="AX389" s="546"/>
      <c r="AY389" s="546"/>
      <c r="AZ389" s="547"/>
      <c r="BA389" s="548" t="s">
        <v>865</v>
      </c>
      <c r="BB389" s="548"/>
      <c r="BC389" s="549"/>
      <c r="BD389" s="550" t="s">
        <v>866</v>
      </c>
      <c r="BE389" s="551"/>
      <c r="BF389" s="551"/>
      <c r="BG389" s="551"/>
      <c r="BH389" s="551"/>
      <c r="BI389" s="551"/>
      <c r="BJ389" s="551"/>
      <c r="BK389" s="552"/>
      <c r="BL389" s="553" t="s">
        <v>1048</v>
      </c>
      <c r="BM389" s="554"/>
      <c r="BN389" s="554"/>
      <c r="BO389" s="554"/>
      <c r="BP389" s="554"/>
      <c r="BQ389" s="554"/>
      <c r="BR389" s="554"/>
      <c r="BS389" s="535" t="s">
        <v>958</v>
      </c>
      <c r="BT389" s="535"/>
      <c r="BU389" s="535"/>
      <c r="BV389" s="535"/>
      <c r="BW389" s="535"/>
    </row>
    <row r="390" spans="1:75" s="19" customFormat="1" ht="91.2" x14ac:dyDescent="0.2">
      <c r="B390" s="448"/>
      <c r="C390" s="449" t="s">
        <v>456</v>
      </c>
      <c r="D390" s="449" t="s">
        <v>457</v>
      </c>
      <c r="E390" s="449" t="s">
        <v>458</v>
      </c>
      <c r="F390" s="450" t="s">
        <v>380</v>
      </c>
      <c r="G390" s="450" t="s">
        <v>761</v>
      </c>
      <c r="H390" s="450" t="s">
        <v>867</v>
      </c>
      <c r="I390" s="450" t="s">
        <v>381</v>
      </c>
      <c r="J390" s="450" t="s">
        <v>868</v>
      </c>
      <c r="K390" s="451" t="s">
        <v>869</v>
      </c>
      <c r="L390" s="451" t="s">
        <v>870</v>
      </c>
      <c r="M390" s="452" t="s">
        <v>871</v>
      </c>
      <c r="N390" s="451" t="s">
        <v>872</v>
      </c>
      <c r="O390" s="449" t="s">
        <v>385</v>
      </c>
      <c r="P390" s="450" t="s">
        <v>391</v>
      </c>
      <c r="Q390" s="449" t="s">
        <v>873</v>
      </c>
      <c r="R390" s="450" t="s">
        <v>874</v>
      </c>
      <c r="S390" s="449" t="s">
        <v>875</v>
      </c>
      <c r="T390" s="450" t="s">
        <v>876</v>
      </c>
      <c r="U390" s="450" t="s">
        <v>877</v>
      </c>
      <c r="V390" s="450" t="s">
        <v>878</v>
      </c>
      <c r="W390" s="450" t="s">
        <v>879</v>
      </c>
      <c r="X390" s="450" t="s">
        <v>880</v>
      </c>
      <c r="Y390" s="450" t="s">
        <v>878</v>
      </c>
      <c r="Z390" s="450" t="s">
        <v>881</v>
      </c>
      <c r="AA390" s="450" t="s">
        <v>882</v>
      </c>
      <c r="AB390" s="450" t="s">
        <v>878</v>
      </c>
      <c r="AC390" s="450" t="s">
        <v>595</v>
      </c>
      <c r="AD390" s="450" t="s">
        <v>883</v>
      </c>
      <c r="AE390" s="450" t="s">
        <v>878</v>
      </c>
      <c r="AF390" s="450" t="s">
        <v>884</v>
      </c>
      <c r="AG390" s="450" t="s">
        <v>885</v>
      </c>
      <c r="AH390" s="450" t="s">
        <v>886</v>
      </c>
      <c r="AI390" s="450" t="s">
        <v>887</v>
      </c>
      <c r="AJ390" s="450" t="s">
        <v>888</v>
      </c>
      <c r="AK390" s="450" t="s">
        <v>1012</v>
      </c>
      <c r="AL390" s="450" t="s">
        <v>889</v>
      </c>
      <c r="AM390" s="450" t="s">
        <v>890</v>
      </c>
      <c r="AN390" s="449" t="s">
        <v>1016</v>
      </c>
      <c r="AO390" s="449" t="s">
        <v>1017</v>
      </c>
      <c r="AP390" s="449" t="s">
        <v>1018</v>
      </c>
      <c r="AQ390" s="449" t="s">
        <v>1019</v>
      </c>
      <c r="AR390" s="449" t="s">
        <v>1020</v>
      </c>
      <c r="AS390" s="449" t="s">
        <v>1021</v>
      </c>
      <c r="AT390" s="449" t="s">
        <v>1022</v>
      </c>
      <c r="AU390" s="450" t="s">
        <v>898</v>
      </c>
      <c r="AV390" s="450" t="s">
        <v>1013</v>
      </c>
      <c r="AW390" s="450" t="s">
        <v>899</v>
      </c>
      <c r="AX390" s="450" t="s">
        <v>900</v>
      </c>
      <c r="AY390" s="450" t="s">
        <v>901</v>
      </c>
      <c r="AZ390" s="453" t="s">
        <v>902</v>
      </c>
      <c r="BA390" s="454" t="s">
        <v>903</v>
      </c>
      <c r="BB390" s="449" t="s">
        <v>904</v>
      </c>
      <c r="BC390" s="454" t="s">
        <v>905</v>
      </c>
      <c r="BD390" s="454" t="s">
        <v>766</v>
      </c>
      <c r="BE390" s="455" t="s">
        <v>906</v>
      </c>
      <c r="BF390" s="455" t="s">
        <v>907</v>
      </c>
      <c r="BG390" s="455" t="s">
        <v>1014</v>
      </c>
      <c r="BH390" s="455" t="s">
        <v>908</v>
      </c>
      <c r="BI390" s="456" t="s">
        <v>909</v>
      </c>
      <c r="BJ390" s="422" t="s">
        <v>910</v>
      </c>
      <c r="BK390" s="455" t="s">
        <v>911</v>
      </c>
      <c r="BL390" s="455" t="s">
        <v>912</v>
      </c>
      <c r="BM390" s="456" t="s">
        <v>913</v>
      </c>
      <c r="BN390" s="456" t="s">
        <v>914</v>
      </c>
      <c r="BO390" s="455" t="s">
        <v>915</v>
      </c>
      <c r="BP390" s="456" t="s">
        <v>916</v>
      </c>
      <c r="BQ390" s="456" t="s">
        <v>917</v>
      </c>
      <c r="BR390" s="456" t="s">
        <v>918</v>
      </c>
      <c r="BS390" s="459" t="s">
        <v>385</v>
      </c>
      <c r="BT390" s="459" t="s">
        <v>391</v>
      </c>
      <c r="BU390" s="459" t="s">
        <v>874</v>
      </c>
      <c r="BV390" s="459" t="s">
        <v>875</v>
      </c>
      <c r="BW390" s="459" t="s">
        <v>876</v>
      </c>
    </row>
    <row r="391" spans="1:75" ht="14.4" x14ac:dyDescent="0.3">
      <c r="A391" s="467" t="str">
        <f>C391&amp;D391</f>
        <v>Paquete 249Residencial</v>
      </c>
      <c r="B391" s="425">
        <v>1</v>
      </c>
      <c r="C391" s="95" t="s">
        <v>166</v>
      </c>
      <c r="D391" s="429" t="s">
        <v>350</v>
      </c>
      <c r="E391" s="429" t="s">
        <v>794</v>
      </c>
      <c r="F391" s="91">
        <v>210.24</v>
      </c>
      <c r="G391" s="486">
        <v>249</v>
      </c>
      <c r="H391" s="91">
        <v>1</v>
      </c>
      <c r="I391" s="91">
        <v>100</v>
      </c>
      <c r="J391" s="91"/>
      <c r="K391" s="91"/>
      <c r="L391" s="91"/>
      <c r="M391" s="91"/>
      <c r="N391" s="91"/>
      <c r="O391" s="499" t="s">
        <v>940</v>
      </c>
      <c r="P391" s="91" t="s">
        <v>939</v>
      </c>
      <c r="Q391" s="457" t="s">
        <v>793</v>
      </c>
      <c r="R391" s="91">
        <v>6</v>
      </c>
      <c r="S391" s="91">
        <v>50</v>
      </c>
      <c r="T391" s="91">
        <f>+S391</f>
        <v>50</v>
      </c>
      <c r="U391" s="91" t="s">
        <v>792</v>
      </c>
      <c r="V391" s="91"/>
      <c r="W391" s="91"/>
      <c r="X391" s="91" t="s">
        <v>792</v>
      </c>
      <c r="Y391" s="91"/>
      <c r="Z391" s="91"/>
      <c r="AA391" s="91" t="s">
        <v>792</v>
      </c>
      <c r="AB391" s="91"/>
      <c r="AC391" s="91"/>
      <c r="AD391" s="91" t="s">
        <v>792</v>
      </c>
      <c r="AE391" s="91"/>
      <c r="AF391" s="91"/>
      <c r="AG391" s="91" t="s">
        <v>922</v>
      </c>
      <c r="AH391" s="91"/>
      <c r="AI391" s="91"/>
      <c r="AJ391" s="91"/>
      <c r="AK391" s="91"/>
      <c r="AL391" s="91"/>
      <c r="AM391" s="91"/>
      <c r="AN391" s="91"/>
      <c r="AO391" s="91"/>
      <c r="AP391" s="91"/>
      <c r="AQ391" s="91"/>
      <c r="AR391" s="91"/>
      <c r="AS391" s="91"/>
      <c r="AT391" s="91"/>
      <c r="AU391" s="91"/>
      <c r="AV391" s="91"/>
      <c r="AW391" s="91">
        <v>1.48</v>
      </c>
      <c r="AX391" s="91"/>
      <c r="AY391" s="91"/>
      <c r="AZ391" s="91"/>
      <c r="BA391" s="91" t="s">
        <v>792</v>
      </c>
      <c r="BB391" s="426"/>
      <c r="BC391" s="426" t="s">
        <v>927</v>
      </c>
      <c r="BD391" s="91" t="s">
        <v>792</v>
      </c>
      <c r="BE391" s="91" t="s">
        <v>927</v>
      </c>
      <c r="BF391" s="426">
        <v>0</v>
      </c>
      <c r="BG391" s="426">
        <v>0</v>
      </c>
      <c r="BH391" s="426">
        <v>0</v>
      </c>
      <c r="BI391" s="426">
        <v>0</v>
      </c>
      <c r="BJ391" s="426">
        <v>0</v>
      </c>
      <c r="BK391" s="426" t="s">
        <v>792</v>
      </c>
      <c r="BL391" s="91" t="s">
        <v>792</v>
      </c>
      <c r="BM391" s="426"/>
      <c r="BN391" s="426"/>
      <c r="BO391" s="91" t="s">
        <v>792</v>
      </c>
      <c r="BP391" s="426"/>
      <c r="BQ391" s="426"/>
      <c r="BR391" s="426"/>
      <c r="BS391" s="100">
        <f>LEFT(O391,FIND(" ",O391))*1</f>
        <v>15</v>
      </c>
      <c r="BT391" s="100">
        <f>LEFT(P391,FIND(" ",P391))*1</f>
        <v>0.64</v>
      </c>
      <c r="BU391" s="100">
        <f>R391</f>
        <v>6</v>
      </c>
      <c r="BV391" s="100">
        <f t="shared" ref="BV391:BW406" si="12">S391</f>
        <v>50</v>
      </c>
      <c r="BW391" s="100">
        <f t="shared" si="12"/>
        <v>50</v>
      </c>
    </row>
    <row r="392" spans="1:75" ht="14.4" x14ac:dyDescent="0.3">
      <c r="A392" s="467" t="str">
        <f t="shared" ref="A392:A432" si="13">C392&amp;D392</f>
        <v>Paquete 289Residencial</v>
      </c>
      <c r="B392" s="425">
        <f t="shared" ref="B392:B455" si="14">1+B391</f>
        <v>2</v>
      </c>
      <c r="C392" s="95" t="s">
        <v>169</v>
      </c>
      <c r="D392" s="429" t="s">
        <v>350</v>
      </c>
      <c r="E392" s="429" t="s">
        <v>794</v>
      </c>
      <c r="F392" s="91">
        <v>244.01</v>
      </c>
      <c r="G392" s="486">
        <v>289</v>
      </c>
      <c r="H392" s="91">
        <v>1</v>
      </c>
      <c r="I392" s="91">
        <v>200</v>
      </c>
      <c r="J392" s="91"/>
      <c r="K392" s="91"/>
      <c r="L392" s="91"/>
      <c r="M392" s="91"/>
      <c r="N392" s="91"/>
      <c r="O392" s="499" t="s">
        <v>940</v>
      </c>
      <c r="P392" s="91" t="s">
        <v>939</v>
      </c>
      <c r="Q392" s="457" t="s">
        <v>793</v>
      </c>
      <c r="R392" s="91">
        <v>6</v>
      </c>
      <c r="S392" s="91">
        <v>50</v>
      </c>
      <c r="T392" s="91">
        <f>+S392</f>
        <v>50</v>
      </c>
      <c r="U392" s="91" t="s">
        <v>792</v>
      </c>
      <c r="V392" s="91"/>
      <c r="W392" s="91"/>
      <c r="X392" s="91" t="s">
        <v>792</v>
      </c>
      <c r="Y392" s="91"/>
      <c r="Z392" s="91"/>
      <c r="AA392" s="91" t="s">
        <v>792</v>
      </c>
      <c r="AB392" s="91"/>
      <c r="AC392" s="91"/>
      <c r="AD392" s="91" t="s">
        <v>792</v>
      </c>
      <c r="AE392" s="91"/>
      <c r="AF392" s="91"/>
      <c r="AG392" s="91" t="s">
        <v>922</v>
      </c>
      <c r="AH392" s="91"/>
      <c r="AI392" s="91"/>
      <c r="AJ392" s="91"/>
      <c r="AK392" s="91"/>
      <c r="AL392" s="91"/>
      <c r="AM392" s="91"/>
      <c r="AN392" s="91"/>
      <c r="AO392" s="91"/>
      <c r="AP392" s="91"/>
      <c r="AQ392" s="91"/>
      <c r="AR392" s="91"/>
      <c r="AS392" s="91"/>
      <c r="AT392" s="91"/>
      <c r="AU392" s="91"/>
      <c r="AV392" s="91"/>
      <c r="AW392" s="91">
        <v>1.48</v>
      </c>
      <c r="AX392" s="91"/>
      <c r="AY392" s="91"/>
      <c r="AZ392" s="91"/>
      <c r="BA392" s="91" t="s">
        <v>792</v>
      </c>
      <c r="BB392" s="426"/>
      <c r="BC392" s="426" t="s">
        <v>927</v>
      </c>
      <c r="BD392" s="91" t="s">
        <v>792</v>
      </c>
      <c r="BE392" s="91" t="s">
        <v>927</v>
      </c>
      <c r="BF392" s="426">
        <v>0</v>
      </c>
      <c r="BG392" s="426">
        <v>0</v>
      </c>
      <c r="BH392" s="426">
        <v>0</v>
      </c>
      <c r="BI392" s="426">
        <v>0</v>
      </c>
      <c r="BJ392" s="426">
        <v>0</v>
      </c>
      <c r="BK392" s="426" t="s">
        <v>792</v>
      </c>
      <c r="BL392" s="91" t="s">
        <v>792</v>
      </c>
      <c r="BM392" s="426"/>
      <c r="BN392" s="426"/>
      <c r="BO392" s="91" t="s">
        <v>792</v>
      </c>
      <c r="BP392" s="426"/>
      <c r="BQ392" s="426"/>
      <c r="BR392" s="426"/>
      <c r="BS392" s="100">
        <f t="shared" ref="BS392:BT407" si="15">LEFT(O392,FIND(" ",O392))*1</f>
        <v>15</v>
      </c>
      <c r="BT392" s="100">
        <f t="shared" si="15"/>
        <v>0.64</v>
      </c>
      <c r="BU392" s="100">
        <f t="shared" ref="BU392:BW432" si="16">R392</f>
        <v>6</v>
      </c>
      <c r="BV392" s="100">
        <f t="shared" si="12"/>
        <v>50</v>
      </c>
      <c r="BW392" s="100">
        <f t="shared" si="12"/>
        <v>50</v>
      </c>
    </row>
    <row r="393" spans="1:75" ht="14.4" x14ac:dyDescent="0.3">
      <c r="A393" s="467" t="str">
        <f t="shared" si="13"/>
        <v>Paquete 333Residencial</v>
      </c>
      <c r="B393" s="425">
        <f t="shared" si="14"/>
        <v>3</v>
      </c>
      <c r="C393" s="95" t="s">
        <v>173</v>
      </c>
      <c r="D393" s="429" t="s">
        <v>350</v>
      </c>
      <c r="E393" s="429" t="s">
        <v>794</v>
      </c>
      <c r="F393" s="91">
        <v>281.16000000000003</v>
      </c>
      <c r="G393" s="486">
        <v>333</v>
      </c>
      <c r="H393" s="91">
        <v>1</v>
      </c>
      <c r="I393" s="91" t="s">
        <v>941</v>
      </c>
      <c r="J393" s="91"/>
      <c r="K393" s="91"/>
      <c r="L393" s="91"/>
      <c r="M393" s="91"/>
      <c r="N393" s="91"/>
      <c r="O393" s="499" t="s">
        <v>940</v>
      </c>
      <c r="P393" s="91" t="s">
        <v>939</v>
      </c>
      <c r="Q393" s="457" t="s">
        <v>793</v>
      </c>
      <c r="R393" s="91">
        <v>6</v>
      </c>
      <c r="S393" s="91">
        <v>50</v>
      </c>
      <c r="T393" s="91">
        <f>+S393</f>
        <v>50</v>
      </c>
      <c r="U393" s="91" t="s">
        <v>792</v>
      </c>
      <c r="V393" s="91"/>
      <c r="W393" s="91"/>
      <c r="X393" s="91" t="s">
        <v>792</v>
      </c>
      <c r="Y393" s="91"/>
      <c r="Z393" s="91"/>
      <c r="AA393" s="91" t="s">
        <v>792</v>
      </c>
      <c r="AB393" s="91"/>
      <c r="AC393" s="91"/>
      <c r="AD393" s="91" t="s">
        <v>792</v>
      </c>
      <c r="AE393" s="91"/>
      <c r="AF393" s="91"/>
      <c r="AG393" s="91" t="s">
        <v>922</v>
      </c>
      <c r="AH393" s="91"/>
      <c r="AI393" s="91" t="s">
        <v>1015</v>
      </c>
      <c r="AJ393" s="91" t="s">
        <v>1052</v>
      </c>
      <c r="AK393" s="91"/>
      <c r="AL393" s="91" t="s">
        <v>924</v>
      </c>
      <c r="AM393" s="91" t="s">
        <v>925</v>
      </c>
      <c r="AN393" s="91"/>
      <c r="AO393" s="91"/>
      <c r="AP393" s="91"/>
      <c r="AQ393" s="91"/>
      <c r="AR393" s="91"/>
      <c r="AS393" s="91"/>
      <c r="AT393" s="91"/>
      <c r="AU393" s="91" t="s">
        <v>926</v>
      </c>
      <c r="AV393" s="91"/>
      <c r="AW393" s="91"/>
      <c r="AX393" s="91"/>
      <c r="AY393" s="91"/>
      <c r="AZ393" s="91"/>
      <c r="BA393" s="91" t="s">
        <v>792</v>
      </c>
      <c r="BB393" s="426"/>
      <c r="BC393" s="426"/>
      <c r="BD393" s="91" t="s">
        <v>792</v>
      </c>
      <c r="BE393" s="91" t="s">
        <v>927</v>
      </c>
      <c r="BF393" s="426">
        <v>0</v>
      </c>
      <c r="BG393" s="426">
        <v>0</v>
      </c>
      <c r="BH393" s="426">
        <v>0</v>
      </c>
      <c r="BI393" s="426">
        <v>0</v>
      </c>
      <c r="BJ393" s="426">
        <v>0</v>
      </c>
      <c r="BK393" s="426" t="s">
        <v>792</v>
      </c>
      <c r="BL393" s="91" t="s">
        <v>792</v>
      </c>
      <c r="BM393" s="426"/>
      <c r="BN393" s="426"/>
      <c r="BO393" s="91" t="s">
        <v>792</v>
      </c>
      <c r="BP393" s="426"/>
      <c r="BQ393" s="426"/>
      <c r="BR393" s="426"/>
      <c r="BS393" s="100">
        <f t="shared" si="15"/>
        <v>15</v>
      </c>
      <c r="BT393" s="100">
        <f t="shared" si="15"/>
        <v>0.64</v>
      </c>
      <c r="BU393" s="100">
        <f t="shared" si="16"/>
        <v>6</v>
      </c>
      <c r="BV393" s="100">
        <f t="shared" si="12"/>
        <v>50</v>
      </c>
      <c r="BW393" s="100">
        <f t="shared" si="12"/>
        <v>50</v>
      </c>
    </row>
    <row r="394" spans="1:75" ht="14.4" x14ac:dyDescent="0.3">
      <c r="A394" s="467" t="str">
        <f t="shared" si="13"/>
        <v>Paquete 389Residencial</v>
      </c>
      <c r="B394" s="425">
        <f t="shared" si="14"/>
        <v>4</v>
      </c>
      <c r="C394" s="95" t="s">
        <v>176</v>
      </c>
      <c r="D394" s="429" t="s">
        <v>350</v>
      </c>
      <c r="E394" s="429" t="s">
        <v>794</v>
      </c>
      <c r="F394" s="91">
        <v>328.44</v>
      </c>
      <c r="G394" s="486">
        <v>389</v>
      </c>
      <c r="H394" s="91">
        <v>1</v>
      </c>
      <c r="I394" s="91" t="s">
        <v>941</v>
      </c>
      <c r="J394" s="91" t="s">
        <v>942</v>
      </c>
      <c r="K394" s="91" t="s">
        <v>942</v>
      </c>
      <c r="L394" s="91" t="s">
        <v>942</v>
      </c>
      <c r="M394" s="91">
        <v>5</v>
      </c>
      <c r="N394" s="91" t="s">
        <v>943</v>
      </c>
      <c r="O394" s="499" t="s">
        <v>959</v>
      </c>
      <c r="P394" s="91" t="s">
        <v>959</v>
      </c>
      <c r="Q394" s="457" t="s">
        <v>793</v>
      </c>
      <c r="R394" s="91">
        <v>6</v>
      </c>
      <c r="S394" s="91">
        <v>150</v>
      </c>
      <c r="T394" s="91">
        <f>+S394</f>
        <v>150</v>
      </c>
      <c r="U394" s="91" t="s">
        <v>792</v>
      </c>
      <c r="V394" s="91"/>
      <c r="W394" s="91"/>
      <c r="X394" s="91" t="s">
        <v>792</v>
      </c>
      <c r="Y394" s="91"/>
      <c r="Z394" s="91"/>
      <c r="AA394" s="91" t="s">
        <v>795</v>
      </c>
      <c r="AB394" s="91" t="s">
        <v>1053</v>
      </c>
      <c r="AC394" s="91" t="s">
        <v>921</v>
      </c>
      <c r="AD394" s="91" t="s">
        <v>792</v>
      </c>
      <c r="AE394" s="91"/>
      <c r="AF394" s="91"/>
      <c r="AG394" s="91" t="s">
        <v>922</v>
      </c>
      <c r="AH394" s="91"/>
      <c r="AI394" s="91" t="s">
        <v>1015</v>
      </c>
      <c r="AJ394" s="91" t="s">
        <v>1052</v>
      </c>
      <c r="AK394" s="91"/>
      <c r="AL394" s="91" t="s">
        <v>924</v>
      </c>
      <c r="AM394" s="91" t="s">
        <v>925</v>
      </c>
      <c r="AN394" s="91"/>
      <c r="AO394" s="91"/>
      <c r="AP394" s="91"/>
      <c r="AQ394" s="91"/>
      <c r="AR394" s="91"/>
      <c r="AS394" s="91"/>
      <c r="AT394" s="91"/>
      <c r="AU394" s="91" t="s">
        <v>926</v>
      </c>
      <c r="AV394" s="91"/>
      <c r="AW394" s="91"/>
      <c r="AX394" s="91"/>
      <c r="AY394" s="91"/>
      <c r="AZ394" s="91"/>
      <c r="BA394" s="91" t="s">
        <v>792</v>
      </c>
      <c r="BB394" s="426"/>
      <c r="BC394" s="426"/>
      <c r="BD394" s="91" t="s">
        <v>792</v>
      </c>
      <c r="BE394" s="91" t="s">
        <v>927</v>
      </c>
      <c r="BF394" s="426">
        <v>0</v>
      </c>
      <c r="BG394" s="426">
        <v>0</v>
      </c>
      <c r="BH394" s="426">
        <v>0</v>
      </c>
      <c r="BI394" s="426">
        <v>0</v>
      </c>
      <c r="BJ394" s="426">
        <v>0</v>
      </c>
      <c r="BK394" s="426" t="s">
        <v>792</v>
      </c>
      <c r="BL394" s="91" t="s">
        <v>792</v>
      </c>
      <c r="BM394" s="426"/>
      <c r="BN394" s="426"/>
      <c r="BO394" s="91" t="s">
        <v>792</v>
      </c>
      <c r="BP394" s="426"/>
      <c r="BQ394" s="426"/>
      <c r="BR394" s="426"/>
      <c r="BS394" s="100">
        <f t="shared" si="15"/>
        <v>80</v>
      </c>
      <c r="BT394" s="100">
        <f t="shared" si="15"/>
        <v>80</v>
      </c>
      <c r="BU394" s="100">
        <f t="shared" si="16"/>
        <v>6</v>
      </c>
      <c r="BV394" s="100">
        <f t="shared" si="12"/>
        <v>150</v>
      </c>
      <c r="BW394" s="100">
        <f t="shared" si="12"/>
        <v>150</v>
      </c>
    </row>
    <row r="395" spans="1:75" ht="14.4" collapsed="1" x14ac:dyDescent="0.3">
      <c r="A395" s="467" t="str">
        <f t="shared" si="13"/>
        <v>Paquete 435Residencial</v>
      </c>
      <c r="B395" s="425">
        <f t="shared" si="14"/>
        <v>5</v>
      </c>
      <c r="C395" s="95" t="s">
        <v>179</v>
      </c>
      <c r="D395" s="429" t="s">
        <v>350</v>
      </c>
      <c r="E395" s="429" t="s">
        <v>794</v>
      </c>
      <c r="F395" s="91">
        <v>367.29</v>
      </c>
      <c r="G395" s="486">
        <v>435</v>
      </c>
      <c r="H395" s="91">
        <v>1</v>
      </c>
      <c r="I395" s="91" t="s">
        <v>941</v>
      </c>
      <c r="J395" s="91" t="s">
        <v>942</v>
      </c>
      <c r="K395" s="91" t="s">
        <v>942</v>
      </c>
      <c r="L395" s="91" t="s">
        <v>942</v>
      </c>
      <c r="M395" s="91">
        <v>5</v>
      </c>
      <c r="N395" s="91" t="s">
        <v>943</v>
      </c>
      <c r="O395" s="499" t="s">
        <v>930</v>
      </c>
      <c r="P395" s="91" t="s">
        <v>930</v>
      </c>
      <c r="Q395" s="457" t="s">
        <v>793</v>
      </c>
      <c r="R395" s="91">
        <v>6</v>
      </c>
      <c r="S395" s="91">
        <v>150</v>
      </c>
      <c r="T395" s="91">
        <f>+S395</f>
        <v>150</v>
      </c>
      <c r="U395" s="91" t="s">
        <v>792</v>
      </c>
      <c r="V395" s="91"/>
      <c r="W395" s="91"/>
      <c r="X395" s="91" t="s">
        <v>792</v>
      </c>
      <c r="Y395" s="91"/>
      <c r="Z395" s="91"/>
      <c r="AA395" s="91" t="s">
        <v>795</v>
      </c>
      <c r="AB395" s="91" t="s">
        <v>1053</v>
      </c>
      <c r="AC395" s="91" t="s">
        <v>921</v>
      </c>
      <c r="AD395" s="91" t="s">
        <v>792</v>
      </c>
      <c r="AE395" s="91"/>
      <c r="AF395" s="91"/>
      <c r="AG395" s="91" t="s">
        <v>922</v>
      </c>
      <c r="AH395" s="91"/>
      <c r="AI395" s="91" t="s">
        <v>1015</v>
      </c>
      <c r="AJ395" s="91" t="s">
        <v>1052</v>
      </c>
      <c r="AK395" s="91"/>
      <c r="AL395" s="91" t="s">
        <v>924</v>
      </c>
      <c r="AM395" s="91" t="s">
        <v>925</v>
      </c>
      <c r="AN395" s="91"/>
      <c r="AO395" s="91"/>
      <c r="AP395" s="91"/>
      <c r="AQ395" s="91"/>
      <c r="AR395" s="91"/>
      <c r="AS395" s="91"/>
      <c r="AT395" s="91"/>
      <c r="AU395" s="91" t="s">
        <v>926</v>
      </c>
      <c r="AV395" s="91"/>
      <c r="AW395" s="91"/>
      <c r="AX395" s="91"/>
      <c r="AY395" s="91"/>
      <c r="AZ395" s="91"/>
      <c r="BA395" s="91" t="s">
        <v>792</v>
      </c>
      <c r="BB395" s="426"/>
      <c r="BC395" s="426"/>
      <c r="BD395" s="91" t="s">
        <v>792</v>
      </c>
      <c r="BE395" s="91" t="s">
        <v>927</v>
      </c>
      <c r="BF395" s="426">
        <v>0</v>
      </c>
      <c r="BG395" s="426">
        <v>0</v>
      </c>
      <c r="BH395" s="426">
        <v>0</v>
      </c>
      <c r="BI395" s="426">
        <v>0</v>
      </c>
      <c r="BJ395" s="426">
        <v>0</v>
      </c>
      <c r="BK395" s="426" t="s">
        <v>792</v>
      </c>
      <c r="BL395" s="91" t="s">
        <v>792</v>
      </c>
      <c r="BM395" s="426"/>
      <c r="BN395" s="426"/>
      <c r="BO395" s="91" t="s">
        <v>792</v>
      </c>
      <c r="BP395" s="426"/>
      <c r="BQ395" s="426"/>
      <c r="BR395" s="426"/>
      <c r="BS395" s="100">
        <f t="shared" si="15"/>
        <v>100</v>
      </c>
      <c r="BT395" s="100">
        <f t="shared" si="15"/>
        <v>100</v>
      </c>
      <c r="BU395" s="100">
        <f t="shared" si="16"/>
        <v>6</v>
      </c>
      <c r="BV395" s="100">
        <f t="shared" si="12"/>
        <v>150</v>
      </c>
      <c r="BW395" s="100">
        <f t="shared" si="12"/>
        <v>150</v>
      </c>
    </row>
    <row r="396" spans="1:75" ht="14.4" x14ac:dyDescent="0.3">
      <c r="A396" s="467" t="str">
        <f t="shared" si="13"/>
        <v>Paquete 499Residencial</v>
      </c>
      <c r="B396" s="425">
        <f t="shared" si="14"/>
        <v>6</v>
      </c>
      <c r="C396" s="95" t="s">
        <v>181</v>
      </c>
      <c r="D396" s="429" t="s">
        <v>350</v>
      </c>
      <c r="E396" s="429" t="s">
        <v>794</v>
      </c>
      <c r="F396" s="91">
        <v>421.32</v>
      </c>
      <c r="G396" s="486">
        <v>499</v>
      </c>
      <c r="H396" s="91">
        <v>1</v>
      </c>
      <c r="I396" s="91" t="s">
        <v>941</v>
      </c>
      <c r="J396" s="91" t="s">
        <v>942</v>
      </c>
      <c r="K396" s="91" t="s">
        <v>942</v>
      </c>
      <c r="L396" s="91" t="s">
        <v>942</v>
      </c>
      <c r="M396" s="91">
        <v>5</v>
      </c>
      <c r="N396" s="91" t="s">
        <v>943</v>
      </c>
      <c r="O396" s="499" t="s">
        <v>944</v>
      </c>
      <c r="P396" s="91" t="s">
        <v>944</v>
      </c>
      <c r="Q396" s="457" t="s">
        <v>792</v>
      </c>
      <c r="R396" s="91"/>
      <c r="S396" s="91"/>
      <c r="T396" s="91"/>
      <c r="U396" s="91" t="s">
        <v>792</v>
      </c>
      <c r="V396" s="91"/>
      <c r="W396" s="91"/>
      <c r="X396" s="91" t="s">
        <v>792</v>
      </c>
      <c r="Y396" s="91"/>
      <c r="Z396" s="91"/>
      <c r="AA396" s="91" t="s">
        <v>795</v>
      </c>
      <c r="AB396" s="91" t="s">
        <v>1053</v>
      </c>
      <c r="AC396" s="91" t="s">
        <v>921</v>
      </c>
      <c r="AD396" s="91" t="s">
        <v>792</v>
      </c>
      <c r="AE396" s="91"/>
      <c r="AF396" s="91"/>
      <c r="AG396" s="91" t="s">
        <v>922</v>
      </c>
      <c r="AH396" s="91"/>
      <c r="AI396" s="91" t="s">
        <v>1015</v>
      </c>
      <c r="AJ396" s="91" t="s">
        <v>1052</v>
      </c>
      <c r="AK396" s="91"/>
      <c r="AL396" s="91" t="s">
        <v>924</v>
      </c>
      <c r="AM396" s="91" t="s">
        <v>925</v>
      </c>
      <c r="AN396" s="91"/>
      <c r="AO396" s="91"/>
      <c r="AP396" s="91"/>
      <c r="AQ396" s="91"/>
      <c r="AR396" s="91"/>
      <c r="AS396" s="91"/>
      <c r="AT396" s="91"/>
      <c r="AU396" s="91" t="s">
        <v>926</v>
      </c>
      <c r="AV396" s="91"/>
      <c r="AW396" s="91"/>
      <c r="AX396" s="91"/>
      <c r="AY396" s="91"/>
      <c r="AZ396" s="91"/>
      <c r="BA396" s="91" t="s">
        <v>792</v>
      </c>
      <c r="BB396" s="426"/>
      <c r="BC396" s="426"/>
      <c r="BD396" s="91" t="s">
        <v>792</v>
      </c>
      <c r="BE396" s="91" t="s">
        <v>927</v>
      </c>
      <c r="BF396" s="426">
        <v>0</v>
      </c>
      <c r="BG396" s="426">
        <v>0</v>
      </c>
      <c r="BH396" s="426">
        <v>0</v>
      </c>
      <c r="BI396" s="426">
        <v>0</v>
      </c>
      <c r="BJ396" s="426">
        <v>0</v>
      </c>
      <c r="BK396" s="426" t="s">
        <v>792</v>
      </c>
      <c r="BL396" s="91" t="s">
        <v>792</v>
      </c>
      <c r="BM396" s="426"/>
      <c r="BN396" s="426"/>
      <c r="BO396" s="91" t="s">
        <v>792</v>
      </c>
      <c r="BP396" s="426"/>
      <c r="BQ396" s="426"/>
      <c r="BR396" s="426"/>
      <c r="BS396" s="100">
        <f t="shared" si="15"/>
        <v>150</v>
      </c>
      <c r="BT396" s="100">
        <f t="shared" si="15"/>
        <v>150</v>
      </c>
      <c r="BU396" s="100">
        <f t="shared" si="16"/>
        <v>0</v>
      </c>
      <c r="BV396" s="100">
        <f t="shared" si="12"/>
        <v>0</v>
      </c>
      <c r="BW396" s="100">
        <f t="shared" si="12"/>
        <v>0</v>
      </c>
    </row>
    <row r="397" spans="1:75" ht="14.4" x14ac:dyDescent="0.3">
      <c r="A397" s="467" t="str">
        <f t="shared" si="13"/>
        <v>Paquete 599Residencial</v>
      </c>
      <c r="B397" s="425">
        <f t="shared" si="14"/>
        <v>7</v>
      </c>
      <c r="C397" s="95" t="s">
        <v>183</v>
      </c>
      <c r="D397" s="429" t="s">
        <v>350</v>
      </c>
      <c r="E397" s="429" t="s">
        <v>794</v>
      </c>
      <c r="F397" s="91">
        <v>505.76</v>
      </c>
      <c r="G397" s="486">
        <v>599.00191359999997</v>
      </c>
      <c r="H397" s="91">
        <v>2</v>
      </c>
      <c r="I397" s="91" t="s">
        <v>941</v>
      </c>
      <c r="J397" s="91" t="s">
        <v>942</v>
      </c>
      <c r="K397" s="91" t="s">
        <v>942</v>
      </c>
      <c r="L397" s="91" t="s">
        <v>942</v>
      </c>
      <c r="M397" s="91">
        <v>5</v>
      </c>
      <c r="N397" s="91" t="s">
        <v>943</v>
      </c>
      <c r="O397" s="499" t="s">
        <v>1051</v>
      </c>
      <c r="P397" s="91" t="s">
        <v>1051</v>
      </c>
      <c r="Q397" s="457" t="s">
        <v>792</v>
      </c>
      <c r="R397" s="91"/>
      <c r="S397" s="91"/>
      <c r="T397" s="91"/>
      <c r="U397" s="91" t="s">
        <v>792</v>
      </c>
      <c r="V397" s="91"/>
      <c r="W397" s="91"/>
      <c r="X397" s="91" t="s">
        <v>792</v>
      </c>
      <c r="Y397" s="91"/>
      <c r="Z397" s="91"/>
      <c r="AA397" s="91" t="s">
        <v>795</v>
      </c>
      <c r="AB397" s="91" t="s">
        <v>1053</v>
      </c>
      <c r="AC397" s="91" t="s">
        <v>921</v>
      </c>
      <c r="AD397" s="91" t="s">
        <v>792</v>
      </c>
      <c r="AE397" s="91"/>
      <c r="AF397" s="91"/>
      <c r="AG397" s="91" t="s">
        <v>922</v>
      </c>
      <c r="AH397" s="91"/>
      <c r="AI397" s="91" t="s">
        <v>1015</v>
      </c>
      <c r="AJ397" s="91" t="s">
        <v>1052</v>
      </c>
      <c r="AK397" s="91"/>
      <c r="AL397" s="91" t="s">
        <v>924</v>
      </c>
      <c r="AM397" s="91" t="s">
        <v>925</v>
      </c>
      <c r="AN397" s="91"/>
      <c r="AO397" s="91"/>
      <c r="AP397" s="91"/>
      <c r="AQ397" s="91"/>
      <c r="AR397" s="91"/>
      <c r="AS397" s="91"/>
      <c r="AT397" s="91"/>
      <c r="AU397" s="91" t="s">
        <v>926</v>
      </c>
      <c r="AV397" s="91"/>
      <c r="AW397" s="91"/>
      <c r="AX397" s="91"/>
      <c r="AY397" s="91"/>
      <c r="AZ397" s="91"/>
      <c r="BA397" s="91" t="s">
        <v>792</v>
      </c>
      <c r="BB397" s="426"/>
      <c r="BC397" s="426"/>
      <c r="BD397" s="91" t="s">
        <v>792</v>
      </c>
      <c r="BE397" s="91" t="s">
        <v>927</v>
      </c>
      <c r="BF397" s="426">
        <v>0</v>
      </c>
      <c r="BG397" s="426">
        <v>0</v>
      </c>
      <c r="BH397" s="426">
        <v>0</v>
      </c>
      <c r="BI397" s="426">
        <v>0</v>
      </c>
      <c r="BJ397" s="426">
        <v>0</v>
      </c>
      <c r="BK397" s="426" t="s">
        <v>792</v>
      </c>
      <c r="BL397" s="91" t="s">
        <v>792</v>
      </c>
      <c r="BM397" s="426"/>
      <c r="BN397" s="426"/>
      <c r="BO397" s="91" t="s">
        <v>792</v>
      </c>
      <c r="BP397" s="426"/>
      <c r="BQ397" s="426"/>
      <c r="BR397" s="426"/>
      <c r="BS397" s="100">
        <f t="shared" si="15"/>
        <v>250</v>
      </c>
      <c r="BT397" s="100">
        <f t="shared" si="15"/>
        <v>250</v>
      </c>
      <c r="BU397" s="100">
        <f t="shared" si="16"/>
        <v>0</v>
      </c>
      <c r="BV397" s="100">
        <f t="shared" si="12"/>
        <v>0</v>
      </c>
      <c r="BW397" s="100">
        <f t="shared" si="12"/>
        <v>0</v>
      </c>
    </row>
    <row r="398" spans="1:75" ht="14.4" x14ac:dyDescent="0.3">
      <c r="A398" s="467" t="str">
        <f t="shared" si="13"/>
        <v>Paquete 649Residencial</v>
      </c>
      <c r="B398" s="425">
        <f t="shared" si="14"/>
        <v>8</v>
      </c>
      <c r="C398" s="95" t="s">
        <v>186</v>
      </c>
      <c r="D398" s="429" t="s">
        <v>350</v>
      </c>
      <c r="E398" s="429" t="s">
        <v>794</v>
      </c>
      <c r="F398" s="91">
        <v>547.98</v>
      </c>
      <c r="G398" s="486">
        <v>649</v>
      </c>
      <c r="H398" s="91">
        <v>2</v>
      </c>
      <c r="I398" s="91" t="s">
        <v>941</v>
      </c>
      <c r="J398" s="91" t="s">
        <v>942</v>
      </c>
      <c r="K398" s="91" t="s">
        <v>942</v>
      </c>
      <c r="L398" s="91" t="s">
        <v>942</v>
      </c>
      <c r="M398" s="91">
        <v>5</v>
      </c>
      <c r="N398" s="91" t="s">
        <v>943</v>
      </c>
      <c r="O398" s="499" t="s">
        <v>1050</v>
      </c>
      <c r="P398" s="91" t="s">
        <v>1050</v>
      </c>
      <c r="Q398" s="457" t="s">
        <v>792</v>
      </c>
      <c r="R398" s="91"/>
      <c r="S398" s="91"/>
      <c r="T398" s="91"/>
      <c r="U398" s="91" t="s">
        <v>792</v>
      </c>
      <c r="V398" s="91"/>
      <c r="W398" s="91"/>
      <c r="X398" s="91" t="s">
        <v>792</v>
      </c>
      <c r="Y398" s="91"/>
      <c r="Z398" s="91"/>
      <c r="AA398" s="91" t="s">
        <v>795</v>
      </c>
      <c r="AB398" s="91" t="s">
        <v>1053</v>
      </c>
      <c r="AC398" s="91" t="s">
        <v>921</v>
      </c>
      <c r="AD398" s="91" t="s">
        <v>792</v>
      </c>
      <c r="AE398" s="91"/>
      <c r="AF398" s="91"/>
      <c r="AG398" s="91" t="s">
        <v>922</v>
      </c>
      <c r="AH398" s="91"/>
      <c r="AI398" s="91" t="s">
        <v>1015</v>
      </c>
      <c r="AJ398" s="91" t="s">
        <v>1052</v>
      </c>
      <c r="AK398" s="91"/>
      <c r="AL398" s="91" t="s">
        <v>924</v>
      </c>
      <c r="AM398" s="91" t="s">
        <v>925</v>
      </c>
      <c r="AN398" s="91"/>
      <c r="AO398" s="91"/>
      <c r="AP398" s="91"/>
      <c r="AQ398" s="91"/>
      <c r="AR398" s="91"/>
      <c r="AS398" s="91"/>
      <c r="AT398" s="91"/>
      <c r="AU398" s="91" t="s">
        <v>926</v>
      </c>
      <c r="AV398" s="91"/>
      <c r="AW398" s="91"/>
      <c r="AX398" s="91"/>
      <c r="AY398" s="91"/>
      <c r="AZ398" s="91"/>
      <c r="BA398" s="91" t="s">
        <v>792</v>
      </c>
      <c r="BB398" s="426"/>
      <c r="BC398" s="426"/>
      <c r="BD398" s="91" t="s">
        <v>792</v>
      </c>
      <c r="BE398" s="91" t="s">
        <v>927</v>
      </c>
      <c r="BF398" s="426">
        <v>0</v>
      </c>
      <c r="BG398" s="426">
        <v>0</v>
      </c>
      <c r="BH398" s="426">
        <v>0</v>
      </c>
      <c r="BI398" s="426">
        <v>0</v>
      </c>
      <c r="BJ398" s="426">
        <v>0</v>
      </c>
      <c r="BK398" s="426" t="s">
        <v>792</v>
      </c>
      <c r="BL398" s="91" t="s">
        <v>792</v>
      </c>
      <c r="BM398" s="426"/>
      <c r="BN398" s="426"/>
      <c r="BO398" s="91" t="s">
        <v>792</v>
      </c>
      <c r="BP398" s="426"/>
      <c r="BQ398" s="426"/>
      <c r="BR398" s="426"/>
      <c r="BS398" s="100">
        <f t="shared" si="15"/>
        <v>350</v>
      </c>
      <c r="BT398" s="100">
        <f t="shared" si="15"/>
        <v>350</v>
      </c>
      <c r="BU398" s="100">
        <f t="shared" si="16"/>
        <v>0</v>
      </c>
      <c r="BV398" s="100">
        <f t="shared" si="12"/>
        <v>0</v>
      </c>
      <c r="BW398" s="100">
        <f t="shared" si="12"/>
        <v>0</v>
      </c>
    </row>
    <row r="399" spans="1:75" ht="14.4" x14ac:dyDescent="0.3">
      <c r="A399" s="467" t="str">
        <f t="shared" si="13"/>
        <v>Paquetre 725Residencial</v>
      </c>
      <c r="B399" s="425">
        <f t="shared" si="14"/>
        <v>9</v>
      </c>
      <c r="C399" s="95" t="s">
        <v>1036</v>
      </c>
      <c r="D399" s="429" t="s">
        <v>350</v>
      </c>
      <c r="E399" s="429" t="s">
        <v>794</v>
      </c>
      <c r="F399" s="91">
        <v>612.14</v>
      </c>
      <c r="G399" s="486">
        <v>725</v>
      </c>
      <c r="H399" s="91">
        <v>2</v>
      </c>
      <c r="I399" s="91" t="s">
        <v>941</v>
      </c>
      <c r="J399" s="91" t="s">
        <v>942</v>
      </c>
      <c r="K399" s="91" t="s">
        <v>942</v>
      </c>
      <c r="L399" s="91" t="s">
        <v>942</v>
      </c>
      <c r="M399" s="91">
        <v>5</v>
      </c>
      <c r="N399" s="91" t="s">
        <v>943</v>
      </c>
      <c r="O399" s="91" t="s">
        <v>928</v>
      </c>
      <c r="P399" s="91" t="s">
        <v>1050</v>
      </c>
      <c r="Q399" s="457" t="s">
        <v>792</v>
      </c>
      <c r="R399" s="91"/>
      <c r="S399" s="91"/>
      <c r="T399" s="91"/>
      <c r="U399" s="91" t="s">
        <v>792</v>
      </c>
      <c r="V399" s="91"/>
      <c r="W399" s="91"/>
      <c r="X399" s="91" t="s">
        <v>792</v>
      </c>
      <c r="Y399" s="91"/>
      <c r="Z399" s="91"/>
      <c r="AA399" s="91" t="s">
        <v>795</v>
      </c>
      <c r="AB399" s="91" t="s">
        <v>1053</v>
      </c>
      <c r="AC399" s="91" t="s">
        <v>921</v>
      </c>
      <c r="AD399" s="91" t="s">
        <v>792</v>
      </c>
      <c r="AE399" s="91"/>
      <c r="AF399" s="91"/>
      <c r="AG399" s="91" t="s">
        <v>922</v>
      </c>
      <c r="AH399" s="91"/>
      <c r="AI399" s="91" t="s">
        <v>1015</v>
      </c>
      <c r="AJ399" s="91" t="s">
        <v>1052</v>
      </c>
      <c r="AK399" s="91"/>
      <c r="AL399" s="91" t="s">
        <v>924</v>
      </c>
      <c r="AM399" s="91" t="s">
        <v>925</v>
      </c>
      <c r="AN399" s="91"/>
      <c r="AO399" s="91"/>
      <c r="AP399" s="91"/>
      <c r="AQ399" s="91"/>
      <c r="AR399" s="91"/>
      <c r="AS399" s="91"/>
      <c r="AT399" s="91"/>
      <c r="AU399" s="91" t="s">
        <v>926</v>
      </c>
      <c r="AV399" s="91"/>
      <c r="AW399" s="91"/>
      <c r="AX399" s="91"/>
      <c r="AY399" s="91"/>
      <c r="AZ399" s="91"/>
      <c r="BA399" s="91" t="s">
        <v>792</v>
      </c>
      <c r="BB399" s="426"/>
      <c r="BC399" s="426"/>
      <c r="BD399" s="91" t="s">
        <v>792</v>
      </c>
      <c r="BE399" s="91" t="s">
        <v>927</v>
      </c>
      <c r="BF399" s="426">
        <v>0</v>
      </c>
      <c r="BG399" s="426">
        <v>0</v>
      </c>
      <c r="BH399" s="426">
        <v>0</v>
      </c>
      <c r="BI399" s="426">
        <v>0</v>
      </c>
      <c r="BJ399" s="426">
        <v>0</v>
      </c>
      <c r="BK399" s="426" t="s">
        <v>792</v>
      </c>
      <c r="BL399" s="91" t="s">
        <v>792</v>
      </c>
      <c r="BM399" s="426"/>
      <c r="BN399" s="426"/>
      <c r="BO399" s="91" t="s">
        <v>792</v>
      </c>
      <c r="BP399" s="426"/>
      <c r="BQ399" s="426"/>
      <c r="BR399" s="426"/>
      <c r="BS399" s="100">
        <f t="shared" si="15"/>
        <v>500</v>
      </c>
      <c r="BT399" s="100">
        <f t="shared" si="15"/>
        <v>350</v>
      </c>
      <c r="BU399" s="100">
        <f t="shared" si="16"/>
        <v>0</v>
      </c>
      <c r="BV399" s="100">
        <f t="shared" si="12"/>
        <v>0</v>
      </c>
      <c r="BW399" s="100">
        <f t="shared" si="12"/>
        <v>0</v>
      </c>
    </row>
    <row r="400" spans="1:75" ht="14.7" customHeight="1" outlineLevel="1" x14ac:dyDescent="0.3">
      <c r="A400" s="467" t="str">
        <f t="shared" si="13"/>
        <v>Paquete Infinitum 999Residencial</v>
      </c>
      <c r="B400" s="425">
        <f t="shared" si="14"/>
        <v>10</v>
      </c>
      <c r="C400" s="95" t="s">
        <v>188</v>
      </c>
      <c r="D400" s="429" t="s">
        <v>350</v>
      </c>
      <c r="E400" s="429" t="s">
        <v>794</v>
      </c>
      <c r="F400" s="91">
        <v>843.5</v>
      </c>
      <c r="G400" s="486">
        <v>999</v>
      </c>
      <c r="H400" s="91">
        <v>3</v>
      </c>
      <c r="I400" s="91" t="s">
        <v>941</v>
      </c>
      <c r="J400" s="91" t="s">
        <v>941</v>
      </c>
      <c r="K400" s="91" t="s">
        <v>942</v>
      </c>
      <c r="L400" s="91" t="s">
        <v>942</v>
      </c>
      <c r="M400" s="91">
        <v>5</v>
      </c>
      <c r="N400" s="91" t="s">
        <v>943</v>
      </c>
      <c r="O400" s="91" t="s">
        <v>961</v>
      </c>
      <c r="P400" s="91" t="s">
        <v>960</v>
      </c>
      <c r="Q400" s="457" t="s">
        <v>792</v>
      </c>
      <c r="R400" s="91"/>
      <c r="S400" s="91"/>
      <c r="T400" s="91"/>
      <c r="U400" s="91" t="s">
        <v>792</v>
      </c>
      <c r="V400" s="91"/>
      <c r="W400" s="91"/>
      <c r="X400" s="91" t="s">
        <v>792</v>
      </c>
      <c r="Y400" s="91"/>
      <c r="Z400" s="91"/>
      <c r="AA400" s="91" t="s">
        <v>795</v>
      </c>
      <c r="AB400" s="91" t="s">
        <v>1053</v>
      </c>
      <c r="AC400" s="91" t="s">
        <v>921</v>
      </c>
      <c r="AD400" s="91" t="s">
        <v>792</v>
      </c>
      <c r="AE400" s="91"/>
      <c r="AF400" s="91"/>
      <c r="AG400" s="91" t="s">
        <v>922</v>
      </c>
      <c r="AH400" s="91"/>
      <c r="AI400" s="91" t="s">
        <v>1015</v>
      </c>
      <c r="AJ400" s="91" t="s">
        <v>1052</v>
      </c>
      <c r="AK400" s="91"/>
      <c r="AL400" s="91" t="s">
        <v>924</v>
      </c>
      <c r="AM400" s="91" t="s">
        <v>925</v>
      </c>
      <c r="AN400" s="91"/>
      <c r="AO400" s="91"/>
      <c r="AP400" s="91"/>
      <c r="AQ400" s="91"/>
      <c r="AR400" s="91"/>
      <c r="AS400" s="91"/>
      <c r="AT400" s="91"/>
      <c r="AU400" s="91" t="s">
        <v>926</v>
      </c>
      <c r="AV400" s="91"/>
      <c r="AW400" s="91"/>
      <c r="AX400" s="91"/>
      <c r="AY400" s="91"/>
      <c r="AZ400" s="91"/>
      <c r="BA400" s="91" t="s">
        <v>792</v>
      </c>
      <c r="BB400" s="426"/>
      <c r="BC400" s="426"/>
      <c r="BD400" s="91" t="s">
        <v>792</v>
      </c>
      <c r="BE400" s="91" t="s">
        <v>927</v>
      </c>
      <c r="BF400" s="426">
        <v>0</v>
      </c>
      <c r="BG400" s="426">
        <v>0</v>
      </c>
      <c r="BH400" s="426">
        <v>0</v>
      </c>
      <c r="BI400" s="426">
        <v>0</v>
      </c>
      <c r="BJ400" s="426">
        <v>0</v>
      </c>
      <c r="BK400" s="426" t="s">
        <v>792</v>
      </c>
      <c r="BL400" s="91" t="s">
        <v>792</v>
      </c>
      <c r="BM400" s="426"/>
      <c r="BN400" s="426"/>
      <c r="BO400" s="91" t="s">
        <v>792</v>
      </c>
      <c r="BP400" s="426"/>
      <c r="BQ400" s="426"/>
      <c r="BR400" s="426"/>
      <c r="BS400" s="100">
        <f t="shared" si="15"/>
        <v>750</v>
      </c>
      <c r="BT400" s="100">
        <f t="shared" si="15"/>
        <v>300</v>
      </c>
      <c r="BU400" s="100">
        <f t="shared" si="16"/>
        <v>0</v>
      </c>
      <c r="BV400" s="100">
        <f t="shared" si="12"/>
        <v>0</v>
      </c>
      <c r="BW400" s="100">
        <f t="shared" si="12"/>
        <v>0</v>
      </c>
    </row>
    <row r="401" spans="1:75" ht="14.7" customHeight="1" outlineLevel="1" x14ac:dyDescent="0.3">
      <c r="A401" s="467" t="str">
        <f t="shared" si="13"/>
        <v>Paquete 1399Residencial</v>
      </c>
      <c r="B401" s="425">
        <f t="shared" si="14"/>
        <v>11</v>
      </c>
      <c r="C401" s="95" t="s">
        <v>190</v>
      </c>
      <c r="D401" s="429" t="s">
        <v>350</v>
      </c>
      <c r="E401" s="429" t="s">
        <v>794</v>
      </c>
      <c r="F401" s="91">
        <v>1181.23</v>
      </c>
      <c r="G401" s="486">
        <v>1399</v>
      </c>
      <c r="H401" s="91">
        <v>6</v>
      </c>
      <c r="I401" s="91" t="s">
        <v>941</v>
      </c>
      <c r="J401" s="91" t="s">
        <v>942</v>
      </c>
      <c r="K401" s="91" t="s">
        <v>942</v>
      </c>
      <c r="L401" s="91" t="s">
        <v>942</v>
      </c>
      <c r="M401" s="91">
        <v>5</v>
      </c>
      <c r="N401" s="91" t="s">
        <v>943</v>
      </c>
      <c r="O401" s="91" t="s">
        <v>950</v>
      </c>
      <c r="P401" s="91" t="s">
        <v>1050</v>
      </c>
      <c r="Q401" s="457" t="s">
        <v>792</v>
      </c>
      <c r="R401" s="91"/>
      <c r="S401" s="91"/>
      <c r="T401" s="91"/>
      <c r="U401" s="91" t="s">
        <v>792</v>
      </c>
      <c r="V401" s="91"/>
      <c r="W401" s="91"/>
      <c r="X401" s="91" t="s">
        <v>792</v>
      </c>
      <c r="Y401" s="91"/>
      <c r="Z401" s="91"/>
      <c r="AA401" s="91" t="s">
        <v>795</v>
      </c>
      <c r="AB401" s="91" t="s">
        <v>1053</v>
      </c>
      <c r="AC401" s="91" t="s">
        <v>921</v>
      </c>
      <c r="AD401" s="91" t="s">
        <v>792</v>
      </c>
      <c r="AE401" s="91"/>
      <c r="AF401" s="91"/>
      <c r="AG401" s="91" t="s">
        <v>922</v>
      </c>
      <c r="AH401" s="91"/>
      <c r="AI401" s="91" t="s">
        <v>1015</v>
      </c>
      <c r="AJ401" s="91" t="s">
        <v>1052</v>
      </c>
      <c r="AK401" s="91"/>
      <c r="AL401" s="91" t="s">
        <v>924</v>
      </c>
      <c r="AM401" s="91" t="s">
        <v>925</v>
      </c>
      <c r="AN401" s="91"/>
      <c r="AO401" s="91"/>
      <c r="AP401" s="91"/>
      <c r="AQ401" s="91"/>
      <c r="AR401" s="91"/>
      <c r="AS401" s="91"/>
      <c r="AT401" s="91"/>
      <c r="AU401" s="91" t="s">
        <v>926</v>
      </c>
      <c r="AV401" s="91"/>
      <c r="AW401" s="91"/>
      <c r="AX401" s="91"/>
      <c r="AY401" s="91"/>
      <c r="AZ401" s="91"/>
      <c r="BA401" s="91" t="s">
        <v>792</v>
      </c>
      <c r="BB401" s="426"/>
      <c r="BC401" s="426"/>
      <c r="BD401" s="91" t="s">
        <v>792</v>
      </c>
      <c r="BE401" s="91" t="s">
        <v>927</v>
      </c>
      <c r="BF401" s="426">
        <v>0</v>
      </c>
      <c r="BG401" s="426">
        <v>0</v>
      </c>
      <c r="BH401" s="426">
        <v>0</v>
      </c>
      <c r="BI401" s="426">
        <v>0</v>
      </c>
      <c r="BJ401" s="426">
        <v>0</v>
      </c>
      <c r="BK401" s="426" t="s">
        <v>792</v>
      </c>
      <c r="BL401" s="91" t="s">
        <v>792</v>
      </c>
      <c r="BM401" s="426"/>
      <c r="BN401" s="426"/>
      <c r="BO401" s="91" t="s">
        <v>792</v>
      </c>
      <c r="BP401" s="426"/>
      <c r="BQ401" s="426"/>
      <c r="BR401" s="426"/>
      <c r="BS401" s="100">
        <f t="shared" si="15"/>
        <v>1000</v>
      </c>
      <c r="BT401" s="100">
        <f t="shared" si="15"/>
        <v>350</v>
      </c>
      <c r="BU401" s="100">
        <f t="shared" si="16"/>
        <v>0</v>
      </c>
      <c r="BV401" s="100">
        <f t="shared" si="12"/>
        <v>0</v>
      </c>
      <c r="BW401" s="100">
        <f t="shared" si="12"/>
        <v>0</v>
      </c>
    </row>
    <row r="402" spans="1:75" ht="14.7" customHeight="1" outlineLevel="1" x14ac:dyDescent="0.3">
      <c r="A402" s="467" t="str">
        <f t="shared" si="13"/>
        <v>Infinitum 279Residencial</v>
      </c>
      <c r="B402" s="425">
        <f t="shared" si="14"/>
        <v>12</v>
      </c>
      <c r="C402" s="95" t="s">
        <v>167</v>
      </c>
      <c r="D402" s="429" t="s">
        <v>350</v>
      </c>
      <c r="E402" s="429" t="s">
        <v>791</v>
      </c>
      <c r="F402" s="91">
        <v>240.52</v>
      </c>
      <c r="G402" s="486">
        <v>279</v>
      </c>
      <c r="H402" s="91"/>
      <c r="I402" s="91"/>
      <c r="J402" s="91"/>
      <c r="K402" s="91"/>
      <c r="L402" s="91"/>
      <c r="M402" s="91"/>
      <c r="N402" s="91"/>
      <c r="O402" s="91" t="s">
        <v>934</v>
      </c>
      <c r="P402" s="91" t="s">
        <v>920</v>
      </c>
      <c r="Q402" s="457" t="s">
        <v>793</v>
      </c>
      <c r="R402" s="91">
        <v>6</v>
      </c>
      <c r="S402" s="91">
        <v>60</v>
      </c>
      <c r="T402" s="91">
        <f>+S402</f>
        <v>60</v>
      </c>
      <c r="U402" s="91" t="s">
        <v>792</v>
      </c>
      <c r="V402" s="91"/>
      <c r="W402" s="91"/>
      <c r="X402" s="91" t="s">
        <v>792</v>
      </c>
      <c r="Y402" s="91"/>
      <c r="Z402" s="91"/>
      <c r="AA402" s="91" t="s">
        <v>792</v>
      </c>
      <c r="AB402" s="91"/>
      <c r="AC402" s="91"/>
      <c r="AD402" s="91" t="s">
        <v>792</v>
      </c>
      <c r="AE402" s="91"/>
      <c r="AF402" s="91"/>
      <c r="AG402" s="91" t="s">
        <v>922</v>
      </c>
      <c r="AH402" s="91"/>
      <c r="AI402" s="91"/>
      <c r="AJ402" s="91"/>
      <c r="AK402" s="91"/>
      <c r="AL402" s="91"/>
      <c r="AM402" s="91"/>
      <c r="AN402" s="91"/>
      <c r="AO402" s="91"/>
      <c r="AP402" s="91"/>
      <c r="AQ402" s="91"/>
      <c r="AR402" s="91"/>
      <c r="AS402" s="91"/>
      <c r="AT402" s="91"/>
      <c r="AU402" s="91"/>
      <c r="AV402" s="91"/>
      <c r="AW402" s="91"/>
      <c r="AX402" s="91"/>
      <c r="AY402" s="91"/>
      <c r="AZ402" s="91"/>
      <c r="BA402" s="91" t="s">
        <v>792</v>
      </c>
      <c r="BB402" s="426"/>
      <c r="BC402" s="426"/>
      <c r="BD402" s="91" t="s">
        <v>792</v>
      </c>
      <c r="BE402" s="91" t="s">
        <v>927</v>
      </c>
      <c r="BF402" s="426">
        <v>0</v>
      </c>
      <c r="BG402" s="426">
        <v>0</v>
      </c>
      <c r="BH402" s="426">
        <v>0</v>
      </c>
      <c r="BI402" s="426">
        <v>0</v>
      </c>
      <c r="BJ402" s="426">
        <v>0</v>
      </c>
      <c r="BK402" s="426" t="s">
        <v>792</v>
      </c>
      <c r="BL402" s="91" t="s">
        <v>792</v>
      </c>
      <c r="BM402" s="426"/>
      <c r="BN402" s="426"/>
      <c r="BO402" s="91" t="s">
        <v>792</v>
      </c>
      <c r="BP402" s="426"/>
      <c r="BQ402" s="426"/>
      <c r="BR402" s="426"/>
      <c r="BS402" s="100">
        <f t="shared" si="15"/>
        <v>30</v>
      </c>
      <c r="BT402" s="100">
        <f t="shared" si="15"/>
        <v>5</v>
      </c>
      <c r="BU402" s="100">
        <f t="shared" si="16"/>
        <v>6</v>
      </c>
      <c r="BV402" s="100">
        <f t="shared" si="12"/>
        <v>60</v>
      </c>
      <c r="BW402" s="100">
        <f t="shared" si="12"/>
        <v>60</v>
      </c>
    </row>
    <row r="403" spans="1:75" ht="14.7" customHeight="1" outlineLevel="1" x14ac:dyDescent="0.3">
      <c r="A403" s="467" t="str">
        <f t="shared" si="13"/>
        <v>Infinitum 299 RResidencial</v>
      </c>
      <c r="B403" s="425">
        <f t="shared" si="14"/>
        <v>13</v>
      </c>
      <c r="C403" s="513" t="s">
        <v>170</v>
      </c>
      <c r="D403" s="429" t="s">
        <v>350</v>
      </c>
      <c r="E403" s="429" t="s">
        <v>791</v>
      </c>
      <c r="F403" s="91">
        <v>257.76</v>
      </c>
      <c r="G403" s="486">
        <v>299</v>
      </c>
      <c r="H403" s="91"/>
      <c r="I403" s="91"/>
      <c r="J403" s="91"/>
      <c r="K403" s="91"/>
      <c r="L403" s="91"/>
      <c r="M403" s="91"/>
      <c r="N403" s="91"/>
      <c r="O403" s="91" t="s">
        <v>935</v>
      </c>
      <c r="P403" s="91" t="s">
        <v>920</v>
      </c>
      <c r="Q403" s="457" t="s">
        <v>793</v>
      </c>
      <c r="R403" s="91">
        <v>6</v>
      </c>
      <c r="S403" s="91">
        <v>100</v>
      </c>
      <c r="T403" s="91">
        <f>+S403</f>
        <v>100</v>
      </c>
      <c r="U403" s="91" t="s">
        <v>792</v>
      </c>
      <c r="V403" s="91"/>
      <c r="W403" s="91"/>
      <c r="X403" s="91" t="s">
        <v>792</v>
      </c>
      <c r="Y403" s="91"/>
      <c r="Z403" s="91"/>
      <c r="AA403" s="91" t="s">
        <v>792</v>
      </c>
      <c r="AB403" s="91"/>
      <c r="AC403" s="91"/>
      <c r="AD403" s="91" t="s">
        <v>792</v>
      </c>
      <c r="AE403" s="91"/>
      <c r="AF403" s="91"/>
      <c r="AG403" s="91" t="s">
        <v>922</v>
      </c>
      <c r="AH403" s="91"/>
      <c r="AI403" s="91"/>
      <c r="AJ403" s="91"/>
      <c r="AK403" s="91"/>
      <c r="AL403" s="91"/>
      <c r="AM403" s="91"/>
      <c r="AN403" s="91"/>
      <c r="AO403" s="91"/>
      <c r="AP403" s="91"/>
      <c r="AQ403" s="91"/>
      <c r="AR403" s="91"/>
      <c r="AS403" s="91"/>
      <c r="AT403" s="91"/>
      <c r="AU403" s="91"/>
      <c r="AV403" s="91"/>
      <c r="AW403" s="91"/>
      <c r="AX403" s="91"/>
      <c r="AY403" s="91"/>
      <c r="AZ403" s="91"/>
      <c r="BA403" s="91" t="s">
        <v>792</v>
      </c>
      <c r="BB403" s="426"/>
      <c r="BC403" s="426"/>
      <c r="BD403" s="91" t="s">
        <v>792</v>
      </c>
      <c r="BE403" s="91" t="s">
        <v>927</v>
      </c>
      <c r="BF403" s="426">
        <v>0</v>
      </c>
      <c r="BG403" s="426">
        <v>0</v>
      </c>
      <c r="BH403" s="426">
        <v>0</v>
      </c>
      <c r="BI403" s="426">
        <v>0</v>
      </c>
      <c r="BJ403" s="426">
        <v>0</v>
      </c>
      <c r="BK403" s="426" t="s">
        <v>792</v>
      </c>
      <c r="BL403" s="91" t="s">
        <v>792</v>
      </c>
      <c r="BM403" s="426"/>
      <c r="BN403" s="426"/>
      <c r="BO403" s="91" t="s">
        <v>792</v>
      </c>
      <c r="BP403" s="426"/>
      <c r="BQ403" s="426"/>
      <c r="BR403" s="426"/>
      <c r="BS403" s="100">
        <f t="shared" si="15"/>
        <v>40</v>
      </c>
      <c r="BT403" s="100">
        <f t="shared" si="15"/>
        <v>5</v>
      </c>
      <c r="BU403" s="100">
        <f t="shared" si="16"/>
        <v>6</v>
      </c>
      <c r="BV403" s="100">
        <f t="shared" si="12"/>
        <v>100</v>
      </c>
      <c r="BW403" s="100">
        <f t="shared" si="12"/>
        <v>100</v>
      </c>
    </row>
    <row r="404" spans="1:75" ht="14.7" customHeight="1" outlineLevel="1" x14ac:dyDescent="0.3">
      <c r="A404" s="467" t="str">
        <f t="shared" si="13"/>
        <v>Infinitum 349Residencial</v>
      </c>
      <c r="B404" s="425">
        <f t="shared" si="14"/>
        <v>14</v>
      </c>
      <c r="C404" s="95" t="s">
        <v>174</v>
      </c>
      <c r="D404" s="429" t="s">
        <v>350</v>
      </c>
      <c r="E404" s="429" t="s">
        <v>791</v>
      </c>
      <c r="F404" s="91">
        <v>300.86</v>
      </c>
      <c r="G404" s="486">
        <v>348.99759999999998</v>
      </c>
      <c r="H404" s="91"/>
      <c r="I404" s="91"/>
      <c r="J404" s="91"/>
      <c r="K404" s="91"/>
      <c r="L404" s="91"/>
      <c r="M404" s="91"/>
      <c r="N404" s="91"/>
      <c r="O404" s="499" t="s">
        <v>959</v>
      </c>
      <c r="P404" s="91" t="s">
        <v>959</v>
      </c>
      <c r="Q404" s="457" t="s">
        <v>793</v>
      </c>
      <c r="R404" s="91">
        <v>6</v>
      </c>
      <c r="S404" s="91">
        <v>150</v>
      </c>
      <c r="T404" s="91">
        <f>+S404</f>
        <v>150</v>
      </c>
      <c r="U404" s="91" t="s">
        <v>792</v>
      </c>
      <c r="V404" s="91"/>
      <c r="W404" s="91"/>
      <c r="X404" s="91" t="s">
        <v>792</v>
      </c>
      <c r="Y404" s="91"/>
      <c r="Z404" s="91"/>
      <c r="AA404" s="91" t="s">
        <v>795</v>
      </c>
      <c r="AB404" s="91" t="s">
        <v>1053</v>
      </c>
      <c r="AC404" s="91" t="s">
        <v>921</v>
      </c>
      <c r="AD404" s="91" t="s">
        <v>792</v>
      </c>
      <c r="AE404" s="91"/>
      <c r="AF404" s="91"/>
      <c r="AG404" s="91" t="s">
        <v>922</v>
      </c>
      <c r="AH404" s="91"/>
      <c r="AI404" s="91" t="s">
        <v>1015</v>
      </c>
      <c r="AJ404" s="91" t="s">
        <v>1052</v>
      </c>
      <c r="AK404" s="91"/>
      <c r="AL404" s="91" t="s">
        <v>924</v>
      </c>
      <c r="AM404" s="91" t="s">
        <v>925</v>
      </c>
      <c r="AN404" s="91"/>
      <c r="AO404" s="91"/>
      <c r="AP404" s="91"/>
      <c r="AQ404" s="91"/>
      <c r="AR404" s="91"/>
      <c r="AS404" s="91"/>
      <c r="AT404" s="91"/>
      <c r="AU404" s="91" t="s">
        <v>926</v>
      </c>
      <c r="AV404" s="91"/>
      <c r="AW404" s="91"/>
      <c r="AX404" s="91"/>
      <c r="AY404" s="91"/>
      <c r="AZ404" s="91"/>
      <c r="BA404" s="91" t="s">
        <v>792</v>
      </c>
      <c r="BB404" s="426"/>
      <c r="BC404" s="426"/>
      <c r="BD404" s="91" t="s">
        <v>792</v>
      </c>
      <c r="BE404" s="91" t="s">
        <v>927</v>
      </c>
      <c r="BF404" s="426">
        <v>0</v>
      </c>
      <c r="BG404" s="426">
        <v>0</v>
      </c>
      <c r="BH404" s="426">
        <v>0</v>
      </c>
      <c r="BI404" s="426">
        <v>0</v>
      </c>
      <c r="BJ404" s="426">
        <v>0</v>
      </c>
      <c r="BK404" s="426" t="s">
        <v>792</v>
      </c>
      <c r="BL404" s="91" t="s">
        <v>792</v>
      </c>
      <c r="BM404" s="426"/>
      <c r="BN404" s="426"/>
      <c r="BO404" s="91" t="s">
        <v>792</v>
      </c>
      <c r="BP404" s="426"/>
      <c r="BQ404" s="426"/>
      <c r="BR404" s="426"/>
      <c r="BS404" s="100">
        <f t="shared" si="15"/>
        <v>80</v>
      </c>
      <c r="BT404" s="100">
        <f t="shared" si="15"/>
        <v>80</v>
      </c>
      <c r="BU404" s="100">
        <f t="shared" si="16"/>
        <v>6</v>
      </c>
      <c r="BV404" s="100">
        <f t="shared" si="12"/>
        <v>150</v>
      </c>
      <c r="BW404" s="100">
        <f t="shared" si="12"/>
        <v>150</v>
      </c>
    </row>
    <row r="405" spans="1:75" ht="14.7" customHeight="1" outlineLevel="1" x14ac:dyDescent="0.3">
      <c r="A405" s="467" t="str">
        <f t="shared" si="13"/>
        <v>Infinitum 399Residencial</v>
      </c>
      <c r="B405" s="425">
        <f t="shared" si="14"/>
        <v>15</v>
      </c>
      <c r="C405" s="95" t="s">
        <v>177</v>
      </c>
      <c r="D405" s="429" t="s">
        <v>350</v>
      </c>
      <c r="E405" s="429" t="s">
        <v>791</v>
      </c>
      <c r="F405" s="91">
        <v>343.97</v>
      </c>
      <c r="G405" s="486">
        <v>398.99520000000001</v>
      </c>
      <c r="H405" s="91"/>
      <c r="I405" s="91"/>
      <c r="J405" s="91"/>
      <c r="K405" s="91"/>
      <c r="L405" s="91"/>
      <c r="M405" s="91"/>
      <c r="N405" s="91"/>
      <c r="O405" s="499" t="s">
        <v>930</v>
      </c>
      <c r="P405" s="91" t="s">
        <v>930</v>
      </c>
      <c r="Q405" s="457" t="s">
        <v>793</v>
      </c>
      <c r="R405" s="91">
        <v>6</v>
      </c>
      <c r="S405" s="91">
        <v>150</v>
      </c>
      <c r="T405" s="91">
        <f>+S405</f>
        <v>150</v>
      </c>
      <c r="U405" s="91" t="s">
        <v>792</v>
      </c>
      <c r="V405" s="91"/>
      <c r="W405" s="91"/>
      <c r="X405" s="91" t="s">
        <v>792</v>
      </c>
      <c r="Y405" s="91"/>
      <c r="Z405" s="91"/>
      <c r="AA405" s="91" t="s">
        <v>795</v>
      </c>
      <c r="AB405" s="91" t="s">
        <v>1053</v>
      </c>
      <c r="AC405" s="91" t="s">
        <v>921</v>
      </c>
      <c r="AD405" s="91" t="s">
        <v>792</v>
      </c>
      <c r="AE405" s="91"/>
      <c r="AF405" s="91"/>
      <c r="AG405" s="91" t="s">
        <v>922</v>
      </c>
      <c r="AH405" s="91"/>
      <c r="AI405" s="91" t="s">
        <v>1015</v>
      </c>
      <c r="AJ405" s="91" t="s">
        <v>1052</v>
      </c>
      <c r="AK405" s="91"/>
      <c r="AL405" s="91" t="s">
        <v>924</v>
      </c>
      <c r="AM405" s="91" t="s">
        <v>925</v>
      </c>
      <c r="AN405" s="91"/>
      <c r="AO405" s="91"/>
      <c r="AP405" s="91"/>
      <c r="AQ405" s="91"/>
      <c r="AR405" s="91"/>
      <c r="AS405" s="91"/>
      <c r="AT405" s="91"/>
      <c r="AU405" s="91" t="s">
        <v>926</v>
      </c>
      <c r="AV405" s="91"/>
      <c r="AW405" s="91"/>
      <c r="AX405" s="91"/>
      <c r="AY405" s="91"/>
      <c r="AZ405" s="91"/>
      <c r="BA405" s="91" t="s">
        <v>792</v>
      </c>
      <c r="BB405" s="426"/>
      <c r="BC405" s="426"/>
      <c r="BD405" s="91" t="s">
        <v>792</v>
      </c>
      <c r="BE405" s="91" t="s">
        <v>927</v>
      </c>
      <c r="BF405" s="426">
        <v>0</v>
      </c>
      <c r="BG405" s="426">
        <v>0</v>
      </c>
      <c r="BH405" s="426">
        <v>0</v>
      </c>
      <c r="BI405" s="426">
        <v>0</v>
      </c>
      <c r="BJ405" s="426">
        <v>0</v>
      </c>
      <c r="BK405" s="426" t="s">
        <v>792</v>
      </c>
      <c r="BL405" s="91" t="s">
        <v>792</v>
      </c>
      <c r="BM405" s="426"/>
      <c r="BN405" s="426"/>
      <c r="BO405" s="91" t="s">
        <v>792</v>
      </c>
      <c r="BP405" s="426"/>
      <c r="BQ405" s="426"/>
      <c r="BR405" s="426"/>
      <c r="BS405" s="100">
        <f t="shared" si="15"/>
        <v>100</v>
      </c>
      <c r="BT405" s="100">
        <f t="shared" si="15"/>
        <v>100</v>
      </c>
      <c r="BU405" s="100">
        <f t="shared" si="16"/>
        <v>6</v>
      </c>
      <c r="BV405" s="100">
        <f t="shared" si="12"/>
        <v>150</v>
      </c>
      <c r="BW405" s="100">
        <f t="shared" si="12"/>
        <v>150</v>
      </c>
    </row>
    <row r="406" spans="1:75" ht="14.7" customHeight="1" outlineLevel="1" x14ac:dyDescent="0.3">
      <c r="A406" s="467" t="str">
        <f t="shared" si="13"/>
        <v>Infinitum 449Residencial</v>
      </c>
      <c r="B406" s="425">
        <f t="shared" si="14"/>
        <v>16</v>
      </c>
      <c r="C406" s="95" t="s">
        <v>180</v>
      </c>
      <c r="D406" s="429" t="s">
        <v>350</v>
      </c>
      <c r="E406" s="429" t="s">
        <v>791</v>
      </c>
      <c r="F406" s="91">
        <v>387.07</v>
      </c>
      <c r="G406" s="486">
        <v>449</v>
      </c>
      <c r="H406" s="91"/>
      <c r="I406" s="91"/>
      <c r="J406" s="91"/>
      <c r="K406" s="91"/>
      <c r="L406" s="91"/>
      <c r="M406" s="91"/>
      <c r="N406" s="91"/>
      <c r="O406" s="499" t="s">
        <v>944</v>
      </c>
      <c r="P406" s="91" t="s">
        <v>944</v>
      </c>
      <c r="Q406" s="457" t="s">
        <v>792</v>
      </c>
      <c r="R406" s="91"/>
      <c r="S406" s="91"/>
      <c r="T406" s="91"/>
      <c r="U406" s="91" t="s">
        <v>792</v>
      </c>
      <c r="V406" s="91"/>
      <c r="W406" s="91"/>
      <c r="X406" s="91" t="s">
        <v>792</v>
      </c>
      <c r="Y406" s="91"/>
      <c r="Z406" s="91"/>
      <c r="AA406" s="91" t="s">
        <v>795</v>
      </c>
      <c r="AB406" s="91" t="s">
        <v>1053</v>
      </c>
      <c r="AC406" s="91" t="s">
        <v>921</v>
      </c>
      <c r="AD406" s="91" t="s">
        <v>792</v>
      </c>
      <c r="AE406" s="91"/>
      <c r="AF406" s="91"/>
      <c r="AG406" s="91" t="s">
        <v>922</v>
      </c>
      <c r="AH406" s="91"/>
      <c r="AI406" s="91" t="s">
        <v>1015</v>
      </c>
      <c r="AJ406" s="91" t="s">
        <v>1052</v>
      </c>
      <c r="AK406" s="91"/>
      <c r="AL406" s="91" t="s">
        <v>924</v>
      </c>
      <c r="AM406" s="91" t="s">
        <v>925</v>
      </c>
      <c r="AN406" s="91"/>
      <c r="AO406" s="91"/>
      <c r="AP406" s="91"/>
      <c r="AQ406" s="91"/>
      <c r="AR406" s="91"/>
      <c r="AS406" s="91"/>
      <c r="AT406" s="91"/>
      <c r="AU406" s="91" t="s">
        <v>926</v>
      </c>
      <c r="AV406" s="91"/>
      <c r="AW406" s="91"/>
      <c r="AX406" s="91"/>
      <c r="AY406" s="91"/>
      <c r="AZ406" s="91"/>
      <c r="BA406" s="91" t="s">
        <v>792</v>
      </c>
      <c r="BB406" s="426"/>
      <c r="BC406" s="426"/>
      <c r="BD406" s="91" t="s">
        <v>792</v>
      </c>
      <c r="BE406" s="91" t="s">
        <v>927</v>
      </c>
      <c r="BF406" s="426">
        <v>0</v>
      </c>
      <c r="BG406" s="426">
        <v>0</v>
      </c>
      <c r="BH406" s="426">
        <v>0</v>
      </c>
      <c r="BI406" s="426">
        <v>0</v>
      </c>
      <c r="BJ406" s="426">
        <v>0</v>
      </c>
      <c r="BK406" s="426" t="s">
        <v>792</v>
      </c>
      <c r="BL406" s="91" t="s">
        <v>792</v>
      </c>
      <c r="BM406" s="426"/>
      <c r="BN406" s="426"/>
      <c r="BO406" s="91" t="s">
        <v>792</v>
      </c>
      <c r="BP406" s="426"/>
      <c r="BQ406" s="426"/>
      <c r="BR406" s="426"/>
      <c r="BS406" s="100">
        <f t="shared" si="15"/>
        <v>150</v>
      </c>
      <c r="BT406" s="100">
        <f t="shared" si="15"/>
        <v>150</v>
      </c>
      <c r="BU406" s="100">
        <f t="shared" si="16"/>
        <v>0</v>
      </c>
      <c r="BV406" s="100">
        <f t="shared" si="12"/>
        <v>0</v>
      </c>
      <c r="BW406" s="100">
        <f t="shared" si="12"/>
        <v>0</v>
      </c>
    </row>
    <row r="407" spans="1:75" ht="14.7" customHeight="1" outlineLevel="1" x14ac:dyDescent="0.3">
      <c r="A407" s="467" t="str">
        <f t="shared" si="13"/>
        <v>Infinitum 499Residencial</v>
      </c>
      <c r="B407" s="425">
        <f t="shared" si="14"/>
        <v>17</v>
      </c>
      <c r="C407" s="95" t="s">
        <v>1037</v>
      </c>
      <c r="D407" s="429" t="s">
        <v>350</v>
      </c>
      <c r="E407" s="429" t="s">
        <v>791</v>
      </c>
      <c r="F407" s="91">
        <v>430.17</v>
      </c>
      <c r="G407" s="486">
        <v>499</v>
      </c>
      <c r="H407" s="91"/>
      <c r="I407" s="91"/>
      <c r="J407" s="91"/>
      <c r="K407" s="91"/>
      <c r="L407" s="91"/>
      <c r="M407" s="91"/>
      <c r="N407" s="91"/>
      <c r="O407" s="499" t="s">
        <v>1051</v>
      </c>
      <c r="P407" s="91" t="s">
        <v>1051</v>
      </c>
      <c r="Q407" s="457" t="s">
        <v>792</v>
      </c>
      <c r="R407" s="91"/>
      <c r="S407" s="91"/>
      <c r="T407" s="91"/>
      <c r="U407" s="91" t="s">
        <v>792</v>
      </c>
      <c r="V407" s="91"/>
      <c r="W407" s="91"/>
      <c r="X407" s="91" t="s">
        <v>792</v>
      </c>
      <c r="Y407" s="91"/>
      <c r="Z407" s="91"/>
      <c r="AA407" s="91" t="s">
        <v>795</v>
      </c>
      <c r="AB407" s="91" t="s">
        <v>1053</v>
      </c>
      <c r="AC407" s="91" t="s">
        <v>921</v>
      </c>
      <c r="AD407" s="91" t="s">
        <v>792</v>
      </c>
      <c r="AE407" s="91"/>
      <c r="AF407" s="91"/>
      <c r="AG407" s="91" t="s">
        <v>922</v>
      </c>
      <c r="AH407" s="91"/>
      <c r="AI407" s="91" t="s">
        <v>1015</v>
      </c>
      <c r="AJ407" s="91" t="s">
        <v>1052</v>
      </c>
      <c r="AK407" s="91"/>
      <c r="AL407" s="91" t="s">
        <v>924</v>
      </c>
      <c r="AM407" s="91" t="s">
        <v>925</v>
      </c>
      <c r="AN407" s="91"/>
      <c r="AO407" s="91"/>
      <c r="AP407" s="91"/>
      <c r="AQ407" s="91"/>
      <c r="AR407" s="91"/>
      <c r="AS407" s="91"/>
      <c r="AT407" s="91"/>
      <c r="AU407" s="91" t="s">
        <v>926</v>
      </c>
      <c r="AV407" s="91"/>
      <c r="AW407" s="91"/>
      <c r="AX407" s="91"/>
      <c r="AY407" s="91"/>
      <c r="AZ407" s="91"/>
      <c r="BA407" s="91" t="s">
        <v>792</v>
      </c>
      <c r="BB407" s="426"/>
      <c r="BC407" s="426"/>
      <c r="BD407" s="91" t="s">
        <v>792</v>
      </c>
      <c r="BE407" s="91" t="s">
        <v>927</v>
      </c>
      <c r="BF407" s="426">
        <v>0</v>
      </c>
      <c r="BG407" s="426">
        <v>0</v>
      </c>
      <c r="BH407" s="426">
        <v>0</v>
      </c>
      <c r="BI407" s="426">
        <v>0</v>
      </c>
      <c r="BJ407" s="426">
        <v>0</v>
      </c>
      <c r="BK407" s="426" t="s">
        <v>792</v>
      </c>
      <c r="BL407" s="91" t="s">
        <v>792</v>
      </c>
      <c r="BM407" s="426"/>
      <c r="BN407" s="426"/>
      <c r="BO407" s="91" t="s">
        <v>792</v>
      </c>
      <c r="BP407" s="426"/>
      <c r="BQ407" s="426"/>
      <c r="BR407" s="426"/>
      <c r="BS407" s="100">
        <f t="shared" si="15"/>
        <v>250</v>
      </c>
      <c r="BT407" s="100">
        <f t="shared" si="15"/>
        <v>250</v>
      </c>
      <c r="BU407" s="100">
        <f t="shared" si="16"/>
        <v>0</v>
      </c>
      <c r="BV407" s="100">
        <f t="shared" si="16"/>
        <v>0</v>
      </c>
      <c r="BW407" s="100">
        <f t="shared" si="16"/>
        <v>0</v>
      </c>
    </row>
    <row r="408" spans="1:75" ht="14.7" customHeight="1" outlineLevel="1" x14ac:dyDescent="0.3">
      <c r="A408" s="467" t="str">
        <f t="shared" si="13"/>
        <v>Infinitum 549Residencial</v>
      </c>
      <c r="B408" s="425">
        <f t="shared" si="14"/>
        <v>18</v>
      </c>
      <c r="C408" s="95" t="s">
        <v>182</v>
      </c>
      <c r="D408" s="429" t="s">
        <v>350</v>
      </c>
      <c r="E408" s="429" t="s">
        <v>791</v>
      </c>
      <c r="F408" s="91">
        <v>473.28</v>
      </c>
      <c r="G408" s="486">
        <v>549</v>
      </c>
      <c r="H408" s="91"/>
      <c r="I408" s="91"/>
      <c r="J408" s="91"/>
      <c r="K408" s="91"/>
      <c r="L408" s="91"/>
      <c r="M408" s="91"/>
      <c r="N408" s="91"/>
      <c r="O408" s="499" t="s">
        <v>1050</v>
      </c>
      <c r="P408" s="91" t="s">
        <v>1050</v>
      </c>
      <c r="Q408" s="457" t="s">
        <v>792</v>
      </c>
      <c r="R408" s="91"/>
      <c r="S408" s="91"/>
      <c r="T408" s="91"/>
      <c r="U408" s="91" t="s">
        <v>792</v>
      </c>
      <c r="V408" s="91"/>
      <c r="W408" s="91"/>
      <c r="X408" s="91" t="s">
        <v>792</v>
      </c>
      <c r="Y408" s="91"/>
      <c r="Z408" s="91"/>
      <c r="AA408" s="91" t="s">
        <v>795</v>
      </c>
      <c r="AB408" s="91" t="s">
        <v>1053</v>
      </c>
      <c r="AC408" s="91" t="s">
        <v>921</v>
      </c>
      <c r="AD408" s="91" t="s">
        <v>792</v>
      </c>
      <c r="AE408" s="91"/>
      <c r="AF408" s="91"/>
      <c r="AG408" s="91" t="s">
        <v>922</v>
      </c>
      <c r="AH408" s="91"/>
      <c r="AI408" s="91" t="s">
        <v>1015</v>
      </c>
      <c r="AJ408" s="91" t="s">
        <v>1052</v>
      </c>
      <c r="AK408" s="91"/>
      <c r="AL408" s="91" t="s">
        <v>924</v>
      </c>
      <c r="AM408" s="91" t="s">
        <v>925</v>
      </c>
      <c r="AN408" s="91"/>
      <c r="AO408" s="91"/>
      <c r="AP408" s="91"/>
      <c r="AQ408" s="91"/>
      <c r="AR408" s="91"/>
      <c r="AS408" s="91"/>
      <c r="AT408" s="91"/>
      <c r="AU408" s="91" t="s">
        <v>926</v>
      </c>
      <c r="AV408" s="91"/>
      <c r="AW408" s="91"/>
      <c r="AX408" s="91"/>
      <c r="AY408" s="91"/>
      <c r="AZ408" s="91"/>
      <c r="BA408" s="91" t="s">
        <v>792</v>
      </c>
      <c r="BB408" s="426"/>
      <c r="BC408" s="426"/>
      <c r="BD408" s="91" t="s">
        <v>792</v>
      </c>
      <c r="BE408" s="91" t="s">
        <v>927</v>
      </c>
      <c r="BF408" s="426">
        <v>0</v>
      </c>
      <c r="BG408" s="426">
        <v>0</v>
      </c>
      <c r="BH408" s="426">
        <v>0</v>
      </c>
      <c r="BI408" s="426">
        <v>0</v>
      </c>
      <c r="BJ408" s="426">
        <v>0</v>
      </c>
      <c r="BK408" s="426" t="s">
        <v>792</v>
      </c>
      <c r="BL408" s="91" t="s">
        <v>792</v>
      </c>
      <c r="BM408" s="426"/>
      <c r="BN408" s="426"/>
      <c r="BO408" s="91" t="s">
        <v>792</v>
      </c>
      <c r="BP408" s="426"/>
      <c r="BQ408" s="426"/>
      <c r="BR408" s="426"/>
      <c r="BS408" s="100">
        <f t="shared" ref="BS408:BT432" si="17">LEFT(O408,FIND(" ",O408))*1</f>
        <v>350</v>
      </c>
      <c r="BT408" s="100">
        <f t="shared" si="17"/>
        <v>350</v>
      </c>
      <c r="BU408" s="100">
        <f t="shared" si="16"/>
        <v>0</v>
      </c>
      <c r="BV408" s="100">
        <f t="shared" si="16"/>
        <v>0</v>
      </c>
      <c r="BW408" s="100">
        <f t="shared" si="16"/>
        <v>0</v>
      </c>
    </row>
    <row r="409" spans="1:75" ht="14.7" customHeight="1" outlineLevel="1" x14ac:dyDescent="0.3">
      <c r="A409" s="467" t="str">
        <f t="shared" si="13"/>
        <v>Infinitum 649Residencial</v>
      </c>
      <c r="B409" s="425">
        <f t="shared" si="14"/>
        <v>19</v>
      </c>
      <c r="C409" s="95" t="s">
        <v>1038</v>
      </c>
      <c r="D409" s="429" t="s">
        <v>350</v>
      </c>
      <c r="E409" s="429" t="s">
        <v>791</v>
      </c>
      <c r="F409" s="91">
        <v>559.48</v>
      </c>
      <c r="G409" s="486">
        <v>649</v>
      </c>
      <c r="H409" s="91"/>
      <c r="I409" s="91"/>
      <c r="J409" s="91"/>
      <c r="K409" s="91"/>
      <c r="L409" s="91"/>
      <c r="M409" s="91"/>
      <c r="N409" s="91"/>
      <c r="O409" s="91" t="s">
        <v>928</v>
      </c>
      <c r="P409" s="91" t="s">
        <v>1050</v>
      </c>
      <c r="Q409" s="457" t="s">
        <v>792</v>
      </c>
      <c r="R409" s="91"/>
      <c r="S409" s="91"/>
      <c r="T409" s="91"/>
      <c r="U409" s="91" t="s">
        <v>792</v>
      </c>
      <c r="V409" s="91"/>
      <c r="W409" s="91"/>
      <c r="X409" s="91" t="s">
        <v>792</v>
      </c>
      <c r="Y409" s="91"/>
      <c r="Z409" s="91"/>
      <c r="AA409" s="91" t="s">
        <v>795</v>
      </c>
      <c r="AB409" s="91" t="s">
        <v>1053</v>
      </c>
      <c r="AC409" s="91" t="s">
        <v>921</v>
      </c>
      <c r="AD409" s="91" t="s">
        <v>792</v>
      </c>
      <c r="AE409" s="91"/>
      <c r="AF409" s="91"/>
      <c r="AG409" s="91" t="s">
        <v>922</v>
      </c>
      <c r="AH409" s="91"/>
      <c r="AI409" s="91" t="s">
        <v>1015</v>
      </c>
      <c r="AJ409" s="91" t="s">
        <v>1052</v>
      </c>
      <c r="AK409" s="91"/>
      <c r="AL409" s="91" t="s">
        <v>924</v>
      </c>
      <c r="AM409" s="91" t="s">
        <v>925</v>
      </c>
      <c r="AN409" s="91"/>
      <c r="AO409" s="91"/>
      <c r="AP409" s="91"/>
      <c r="AQ409" s="91"/>
      <c r="AR409" s="91"/>
      <c r="AS409" s="91"/>
      <c r="AT409" s="91"/>
      <c r="AU409" s="91" t="s">
        <v>926</v>
      </c>
      <c r="AV409" s="91"/>
      <c r="AW409" s="91"/>
      <c r="AX409" s="91"/>
      <c r="AY409" s="91"/>
      <c r="AZ409" s="91"/>
      <c r="BA409" s="91" t="s">
        <v>792</v>
      </c>
      <c r="BB409" s="426"/>
      <c r="BC409" s="426"/>
      <c r="BD409" s="91" t="s">
        <v>792</v>
      </c>
      <c r="BE409" s="91" t="s">
        <v>927</v>
      </c>
      <c r="BF409" s="426">
        <v>0</v>
      </c>
      <c r="BG409" s="426">
        <v>0</v>
      </c>
      <c r="BH409" s="426">
        <v>0</v>
      </c>
      <c r="BI409" s="426">
        <v>0</v>
      </c>
      <c r="BJ409" s="426">
        <v>0</v>
      </c>
      <c r="BK409" s="426" t="s">
        <v>792</v>
      </c>
      <c r="BL409" s="91" t="s">
        <v>792</v>
      </c>
      <c r="BM409" s="426"/>
      <c r="BN409" s="426"/>
      <c r="BO409" s="91" t="s">
        <v>792</v>
      </c>
      <c r="BP409" s="426"/>
      <c r="BQ409" s="426"/>
      <c r="BR409" s="426"/>
      <c r="BS409" s="100">
        <f t="shared" si="17"/>
        <v>500</v>
      </c>
      <c r="BT409" s="100">
        <f t="shared" si="17"/>
        <v>350</v>
      </c>
      <c r="BU409" s="100">
        <f t="shared" si="16"/>
        <v>0</v>
      </c>
      <c r="BV409" s="100">
        <f t="shared" si="16"/>
        <v>0</v>
      </c>
      <c r="BW409" s="100">
        <f t="shared" si="16"/>
        <v>0</v>
      </c>
    </row>
    <row r="410" spans="1:75" ht="14.7" customHeight="1" outlineLevel="1" x14ac:dyDescent="0.3">
      <c r="A410" s="467" t="str">
        <f t="shared" si="13"/>
        <v>Infinitum 899Residencial</v>
      </c>
      <c r="B410" s="425">
        <f t="shared" si="14"/>
        <v>20</v>
      </c>
      <c r="C410" s="95" t="s">
        <v>184</v>
      </c>
      <c r="D410" s="429" t="s">
        <v>350</v>
      </c>
      <c r="E410" s="429" t="s">
        <v>791</v>
      </c>
      <c r="F410" s="91">
        <v>775</v>
      </c>
      <c r="G410" s="486">
        <v>898.99999999999989</v>
      </c>
      <c r="H410" s="91"/>
      <c r="I410" s="91"/>
      <c r="J410" s="91"/>
      <c r="K410" s="91"/>
      <c r="L410" s="91"/>
      <c r="M410" s="91"/>
      <c r="N410" s="91"/>
      <c r="O410" s="91" t="s">
        <v>961</v>
      </c>
      <c r="P410" s="91" t="s">
        <v>960</v>
      </c>
      <c r="Q410" s="457" t="s">
        <v>792</v>
      </c>
      <c r="R410" s="91"/>
      <c r="S410" s="91"/>
      <c r="T410" s="91"/>
      <c r="U410" s="91" t="s">
        <v>792</v>
      </c>
      <c r="V410" s="91"/>
      <c r="W410" s="91"/>
      <c r="X410" s="91" t="s">
        <v>792</v>
      </c>
      <c r="Y410" s="91"/>
      <c r="Z410" s="91"/>
      <c r="AA410" s="91" t="s">
        <v>795</v>
      </c>
      <c r="AB410" s="91" t="s">
        <v>1053</v>
      </c>
      <c r="AC410" s="91" t="s">
        <v>921</v>
      </c>
      <c r="AD410" s="91" t="s">
        <v>792</v>
      </c>
      <c r="AE410" s="91"/>
      <c r="AF410" s="91"/>
      <c r="AG410" s="91" t="s">
        <v>922</v>
      </c>
      <c r="AH410" s="91"/>
      <c r="AI410" s="91" t="s">
        <v>1015</v>
      </c>
      <c r="AJ410" s="91" t="s">
        <v>1052</v>
      </c>
      <c r="AK410" s="91"/>
      <c r="AL410" s="91" t="s">
        <v>924</v>
      </c>
      <c r="AM410" s="91" t="s">
        <v>925</v>
      </c>
      <c r="AN410" s="91"/>
      <c r="AO410" s="91"/>
      <c r="AP410" s="91"/>
      <c r="AQ410" s="91"/>
      <c r="AR410" s="91"/>
      <c r="AS410" s="91"/>
      <c r="AT410" s="91"/>
      <c r="AU410" s="91" t="s">
        <v>926</v>
      </c>
      <c r="AV410" s="91"/>
      <c r="AW410" s="91"/>
      <c r="AX410" s="91"/>
      <c r="AY410" s="91"/>
      <c r="AZ410" s="91"/>
      <c r="BA410" s="91" t="s">
        <v>792</v>
      </c>
      <c r="BB410" s="426"/>
      <c r="BC410" s="426"/>
      <c r="BD410" s="91" t="s">
        <v>792</v>
      </c>
      <c r="BE410" s="91" t="s">
        <v>927</v>
      </c>
      <c r="BF410" s="426">
        <v>0</v>
      </c>
      <c r="BG410" s="426">
        <v>0</v>
      </c>
      <c r="BH410" s="426">
        <v>0</v>
      </c>
      <c r="BI410" s="426">
        <v>0</v>
      </c>
      <c r="BJ410" s="426">
        <v>0</v>
      </c>
      <c r="BK410" s="426" t="s">
        <v>792</v>
      </c>
      <c r="BL410" s="91" t="s">
        <v>792</v>
      </c>
      <c r="BM410" s="426"/>
      <c r="BN410" s="426"/>
      <c r="BO410" s="91" t="s">
        <v>792</v>
      </c>
      <c r="BP410" s="426"/>
      <c r="BQ410" s="426"/>
      <c r="BR410" s="426"/>
      <c r="BS410" s="100">
        <f t="shared" si="17"/>
        <v>750</v>
      </c>
      <c r="BT410" s="100">
        <f t="shared" si="17"/>
        <v>300</v>
      </c>
      <c r="BU410" s="100">
        <f t="shared" si="16"/>
        <v>0</v>
      </c>
      <c r="BV410" s="100">
        <f t="shared" si="16"/>
        <v>0</v>
      </c>
      <c r="BW410" s="100">
        <f t="shared" si="16"/>
        <v>0</v>
      </c>
    </row>
    <row r="411" spans="1:75" ht="14.7" customHeight="1" outlineLevel="1" x14ac:dyDescent="0.3">
      <c r="A411" s="467" t="str">
        <f t="shared" si="13"/>
        <v>Paquete Conectes NegocioNo residencial</v>
      </c>
      <c r="B411" s="425">
        <f t="shared" si="14"/>
        <v>21</v>
      </c>
      <c r="C411" s="95" t="s">
        <v>194</v>
      </c>
      <c r="D411" s="429" t="s">
        <v>1039</v>
      </c>
      <c r="E411" s="429" t="s">
        <v>794</v>
      </c>
      <c r="F411" s="91">
        <v>336.9</v>
      </c>
      <c r="G411" s="486">
        <v>399</v>
      </c>
      <c r="H411" s="91">
        <v>1</v>
      </c>
      <c r="I411" s="91" t="s">
        <v>941</v>
      </c>
      <c r="J411" s="91" t="s">
        <v>942</v>
      </c>
      <c r="K411" s="91" t="s">
        <v>942</v>
      </c>
      <c r="L411" s="91" t="s">
        <v>942</v>
      </c>
      <c r="M411" s="91">
        <v>5</v>
      </c>
      <c r="N411" s="91" t="s">
        <v>943</v>
      </c>
      <c r="O411" s="499" t="s">
        <v>959</v>
      </c>
      <c r="P411" s="91" t="s">
        <v>959</v>
      </c>
      <c r="Q411" s="457" t="s">
        <v>793</v>
      </c>
      <c r="R411" s="91">
        <v>6</v>
      </c>
      <c r="S411" s="91">
        <v>150</v>
      </c>
      <c r="T411" s="91">
        <f>+S411</f>
        <v>150</v>
      </c>
      <c r="U411" s="91" t="s">
        <v>792</v>
      </c>
      <c r="V411" s="91"/>
      <c r="W411" s="91"/>
      <c r="X411" s="91" t="s">
        <v>792</v>
      </c>
      <c r="Y411" s="91"/>
      <c r="Z411" s="91"/>
      <c r="AA411" s="91" t="s">
        <v>792</v>
      </c>
      <c r="AB411" s="91"/>
      <c r="AC411" s="91"/>
      <c r="AD411" s="91" t="s">
        <v>792</v>
      </c>
      <c r="AE411" s="91"/>
      <c r="AF411" s="91"/>
      <c r="AG411" s="91" t="s">
        <v>922</v>
      </c>
      <c r="AH411" s="91"/>
      <c r="AI411" s="91"/>
      <c r="AJ411" s="91" t="s">
        <v>1052</v>
      </c>
      <c r="AK411" s="91"/>
      <c r="AL411" s="91" t="s">
        <v>937</v>
      </c>
      <c r="AM411" s="91"/>
      <c r="AN411" s="91" t="s">
        <v>938</v>
      </c>
      <c r="AO411" s="91"/>
      <c r="AP411" s="91" t="s">
        <v>946</v>
      </c>
      <c r="AQ411" s="91" t="s">
        <v>947</v>
      </c>
      <c r="AR411" s="91" t="s">
        <v>948</v>
      </c>
      <c r="AS411" s="91"/>
      <c r="AT411" s="91" t="s">
        <v>949</v>
      </c>
      <c r="AU411" s="91" t="s">
        <v>926</v>
      </c>
      <c r="AV411" s="91"/>
      <c r="AW411" s="91"/>
      <c r="AX411" s="91"/>
      <c r="AY411" s="91"/>
      <c r="AZ411" s="91"/>
      <c r="BA411" s="91" t="s">
        <v>792</v>
      </c>
      <c r="BB411" s="426"/>
      <c r="BC411" s="426"/>
      <c r="BD411" s="91" t="s">
        <v>792</v>
      </c>
      <c r="BE411" s="91" t="s">
        <v>927</v>
      </c>
      <c r="BF411" s="426">
        <v>0</v>
      </c>
      <c r="BG411" s="426">
        <v>0</v>
      </c>
      <c r="BH411" s="426">
        <v>0</v>
      </c>
      <c r="BI411" s="426">
        <v>0</v>
      </c>
      <c r="BJ411" s="426">
        <v>0</v>
      </c>
      <c r="BK411" s="426" t="s">
        <v>792</v>
      </c>
      <c r="BL411" s="91" t="s">
        <v>792</v>
      </c>
      <c r="BM411" s="426"/>
      <c r="BN411" s="426"/>
      <c r="BO411" s="91" t="s">
        <v>792</v>
      </c>
      <c r="BP411" s="426"/>
      <c r="BQ411" s="426"/>
      <c r="BR411" s="426"/>
      <c r="BS411" s="100">
        <f t="shared" si="17"/>
        <v>80</v>
      </c>
      <c r="BT411" s="100">
        <f t="shared" si="17"/>
        <v>80</v>
      </c>
      <c r="BU411" s="100">
        <f t="shared" si="16"/>
        <v>6</v>
      </c>
      <c r="BV411" s="100">
        <f t="shared" si="16"/>
        <v>150</v>
      </c>
      <c r="BW411" s="100">
        <f t="shared" si="16"/>
        <v>150</v>
      </c>
    </row>
    <row r="412" spans="1:75" ht="14.7" customHeight="1" outlineLevel="1" x14ac:dyDescent="0.3">
      <c r="A412" s="467" t="str">
        <f t="shared" si="13"/>
        <v>Paquete Mi NegocioNo residencial</v>
      </c>
      <c r="B412" s="425">
        <f t="shared" si="14"/>
        <v>22</v>
      </c>
      <c r="C412" s="95" t="s">
        <v>196</v>
      </c>
      <c r="D412" s="429" t="s">
        <v>1039</v>
      </c>
      <c r="E412" s="429" t="s">
        <v>794</v>
      </c>
      <c r="F412" s="91">
        <v>463.55</v>
      </c>
      <c r="G412" s="486">
        <v>549</v>
      </c>
      <c r="H412" s="91">
        <v>2</v>
      </c>
      <c r="I412" s="91" t="s">
        <v>941</v>
      </c>
      <c r="J412" s="91" t="s">
        <v>941</v>
      </c>
      <c r="K412" s="91" t="s">
        <v>942</v>
      </c>
      <c r="L412" s="91" t="s">
        <v>942</v>
      </c>
      <c r="M412" s="91">
        <v>5</v>
      </c>
      <c r="N412" s="91" t="s">
        <v>943</v>
      </c>
      <c r="O412" s="499" t="s">
        <v>944</v>
      </c>
      <c r="P412" s="91" t="s">
        <v>944</v>
      </c>
      <c r="Q412" s="457" t="s">
        <v>792</v>
      </c>
      <c r="R412" s="91"/>
      <c r="S412" s="91"/>
      <c r="T412" s="91"/>
      <c r="U412" s="91" t="s">
        <v>792</v>
      </c>
      <c r="V412" s="91"/>
      <c r="W412" s="91"/>
      <c r="X412" s="91" t="s">
        <v>792</v>
      </c>
      <c r="Y412" s="91"/>
      <c r="Z412" s="91"/>
      <c r="AA412" s="91" t="s">
        <v>792</v>
      </c>
      <c r="AB412" s="91"/>
      <c r="AC412" s="91"/>
      <c r="AD412" s="91" t="s">
        <v>792</v>
      </c>
      <c r="AE412" s="91"/>
      <c r="AF412" s="91"/>
      <c r="AG412" s="91" t="s">
        <v>922</v>
      </c>
      <c r="AH412" s="91"/>
      <c r="AI412" s="91"/>
      <c r="AJ412" s="91" t="s">
        <v>1052</v>
      </c>
      <c r="AK412" s="91"/>
      <c r="AL412" s="91" t="s">
        <v>937</v>
      </c>
      <c r="AM412" s="91"/>
      <c r="AN412" s="91" t="s">
        <v>938</v>
      </c>
      <c r="AO412" s="91"/>
      <c r="AP412" s="91" t="s">
        <v>946</v>
      </c>
      <c r="AQ412" s="91" t="s">
        <v>947</v>
      </c>
      <c r="AR412" s="91" t="s">
        <v>948</v>
      </c>
      <c r="AS412" s="91"/>
      <c r="AT412" s="91" t="s">
        <v>949</v>
      </c>
      <c r="AU412" s="91" t="s">
        <v>926</v>
      </c>
      <c r="AV412" s="91"/>
      <c r="AW412" s="91"/>
      <c r="AX412" s="91"/>
      <c r="AY412" s="91"/>
      <c r="AZ412" s="91"/>
      <c r="BA412" s="91" t="s">
        <v>792</v>
      </c>
      <c r="BB412" s="426"/>
      <c r="BC412" s="426"/>
      <c r="BD412" s="91" t="s">
        <v>792</v>
      </c>
      <c r="BE412" s="91" t="s">
        <v>927</v>
      </c>
      <c r="BF412" s="426">
        <v>0</v>
      </c>
      <c r="BG412" s="426">
        <v>0</v>
      </c>
      <c r="BH412" s="426">
        <v>0</v>
      </c>
      <c r="BI412" s="426">
        <v>0</v>
      </c>
      <c r="BJ412" s="426">
        <v>0</v>
      </c>
      <c r="BK412" s="426" t="s">
        <v>792</v>
      </c>
      <c r="BL412" s="91" t="s">
        <v>792</v>
      </c>
      <c r="BM412" s="426"/>
      <c r="BN412" s="426"/>
      <c r="BO412" s="91" t="s">
        <v>792</v>
      </c>
      <c r="BP412" s="426"/>
      <c r="BQ412" s="426"/>
      <c r="BR412" s="426"/>
      <c r="BS412" s="100">
        <f t="shared" si="17"/>
        <v>150</v>
      </c>
      <c r="BT412" s="100">
        <f t="shared" si="17"/>
        <v>150</v>
      </c>
      <c r="BU412" s="100">
        <f t="shared" si="16"/>
        <v>0</v>
      </c>
      <c r="BV412" s="100">
        <f t="shared" si="16"/>
        <v>0</v>
      </c>
      <c r="BW412" s="100">
        <f t="shared" si="16"/>
        <v>0</v>
      </c>
    </row>
    <row r="413" spans="1:75" ht="14.7" customHeight="1" outlineLevel="1" x14ac:dyDescent="0.3">
      <c r="A413" s="467" t="str">
        <f t="shared" si="13"/>
        <v>Paquete Negocio 649No residencial</v>
      </c>
      <c r="B413" s="425">
        <f t="shared" si="14"/>
        <v>23</v>
      </c>
      <c r="C413" s="95" t="s">
        <v>198</v>
      </c>
      <c r="D413" s="429" t="s">
        <v>1039</v>
      </c>
      <c r="E413" s="429" t="s">
        <v>794</v>
      </c>
      <c r="F413" s="91">
        <v>547.98</v>
      </c>
      <c r="G413" s="486">
        <v>649</v>
      </c>
      <c r="H413" s="91">
        <v>2</v>
      </c>
      <c r="I413" s="91" t="s">
        <v>941</v>
      </c>
      <c r="J413" s="91" t="s">
        <v>942</v>
      </c>
      <c r="K413" s="91" t="s">
        <v>942</v>
      </c>
      <c r="L413" s="91" t="s">
        <v>942</v>
      </c>
      <c r="M413" s="91">
        <v>5</v>
      </c>
      <c r="N413" s="91" t="s">
        <v>943</v>
      </c>
      <c r="O413" s="499" t="s">
        <v>1051</v>
      </c>
      <c r="P413" s="91" t="s">
        <v>1051</v>
      </c>
      <c r="Q413" s="457" t="s">
        <v>792</v>
      </c>
      <c r="R413" s="91"/>
      <c r="S413" s="91"/>
      <c r="T413" s="91"/>
      <c r="U413" s="91" t="s">
        <v>792</v>
      </c>
      <c r="V413" s="91"/>
      <c r="W413" s="91"/>
      <c r="X413" s="91" t="s">
        <v>792</v>
      </c>
      <c r="Y413" s="91"/>
      <c r="Z413" s="91"/>
      <c r="AA413" s="91" t="s">
        <v>792</v>
      </c>
      <c r="AB413" s="91"/>
      <c r="AC413" s="91"/>
      <c r="AD413" s="91" t="s">
        <v>792</v>
      </c>
      <c r="AE413" s="91"/>
      <c r="AF413" s="91"/>
      <c r="AG413" s="91" t="s">
        <v>922</v>
      </c>
      <c r="AH413" s="91"/>
      <c r="AI413" s="91"/>
      <c r="AJ413" s="91" t="s">
        <v>1052</v>
      </c>
      <c r="AK413" s="91"/>
      <c r="AL413" s="91" t="s">
        <v>937</v>
      </c>
      <c r="AM413" s="91"/>
      <c r="AN413" s="91" t="s">
        <v>938</v>
      </c>
      <c r="AO413" s="91" t="s">
        <v>945</v>
      </c>
      <c r="AP413" s="91" t="s">
        <v>946</v>
      </c>
      <c r="AQ413" s="91" t="s">
        <v>947</v>
      </c>
      <c r="AR413" s="91" t="s">
        <v>948</v>
      </c>
      <c r="AS413" s="91"/>
      <c r="AT413" s="91" t="s">
        <v>949</v>
      </c>
      <c r="AU413" s="91" t="s">
        <v>926</v>
      </c>
      <c r="AV413" s="91"/>
      <c r="AW413" s="91"/>
      <c r="AX413" s="91"/>
      <c r="AY413" s="91"/>
      <c r="AZ413" s="91"/>
      <c r="BA413" s="91" t="s">
        <v>792</v>
      </c>
      <c r="BB413" s="426"/>
      <c r="BC413" s="426"/>
      <c r="BD413" s="91" t="s">
        <v>792</v>
      </c>
      <c r="BE413" s="91" t="s">
        <v>927</v>
      </c>
      <c r="BF413" s="426">
        <v>0</v>
      </c>
      <c r="BG413" s="426">
        <v>0</v>
      </c>
      <c r="BH413" s="426">
        <v>0</v>
      </c>
      <c r="BI413" s="426">
        <v>0</v>
      </c>
      <c r="BJ413" s="426">
        <v>0</v>
      </c>
      <c r="BK413" s="426" t="s">
        <v>792</v>
      </c>
      <c r="BL413" s="91" t="s">
        <v>792</v>
      </c>
      <c r="BM413" s="426"/>
      <c r="BN413" s="426"/>
      <c r="BO413" s="91" t="s">
        <v>792</v>
      </c>
      <c r="BP413" s="426"/>
      <c r="BQ413" s="426"/>
      <c r="BR413" s="426"/>
      <c r="BS413" s="100">
        <f t="shared" si="17"/>
        <v>250</v>
      </c>
      <c r="BT413" s="100">
        <f t="shared" si="17"/>
        <v>250</v>
      </c>
      <c r="BU413" s="100">
        <f t="shared" si="16"/>
        <v>0</v>
      </c>
      <c r="BV413" s="100">
        <f t="shared" si="16"/>
        <v>0</v>
      </c>
      <c r="BW413" s="100">
        <f t="shared" si="16"/>
        <v>0</v>
      </c>
    </row>
    <row r="414" spans="1:75" ht="14.7" customHeight="1" outlineLevel="1" x14ac:dyDescent="0.3">
      <c r="A414" s="467" t="str">
        <f t="shared" si="13"/>
        <v>Paquete SupernegocioNo residencial</v>
      </c>
      <c r="B414" s="425">
        <f t="shared" si="14"/>
        <v>24</v>
      </c>
      <c r="C414" s="95" t="s">
        <v>200</v>
      </c>
      <c r="D414" s="429" t="s">
        <v>1039</v>
      </c>
      <c r="E414" s="429" t="s">
        <v>794</v>
      </c>
      <c r="F414" s="91">
        <v>674.64</v>
      </c>
      <c r="G414" s="486">
        <v>799</v>
      </c>
      <c r="H414" s="91">
        <v>2</v>
      </c>
      <c r="I414" s="91" t="s">
        <v>941</v>
      </c>
      <c r="J414" s="91" t="s">
        <v>941</v>
      </c>
      <c r="K414" s="91" t="s">
        <v>942</v>
      </c>
      <c r="L414" s="91" t="s">
        <v>942</v>
      </c>
      <c r="M414" s="91">
        <v>5</v>
      </c>
      <c r="N414" s="91" t="s">
        <v>943</v>
      </c>
      <c r="O414" s="499" t="s">
        <v>1050</v>
      </c>
      <c r="P414" s="91" t="s">
        <v>1050</v>
      </c>
      <c r="Q414" s="457" t="s">
        <v>792</v>
      </c>
      <c r="R414" s="91"/>
      <c r="S414" s="91"/>
      <c r="T414" s="91"/>
      <c r="U414" s="91" t="s">
        <v>792</v>
      </c>
      <c r="V414" s="91"/>
      <c r="W414" s="91"/>
      <c r="X414" s="91" t="s">
        <v>792</v>
      </c>
      <c r="Y414" s="91"/>
      <c r="Z414" s="91"/>
      <c r="AA414" s="91" t="s">
        <v>792</v>
      </c>
      <c r="AB414" s="91"/>
      <c r="AC414" s="91"/>
      <c r="AD414" s="91" t="s">
        <v>792</v>
      </c>
      <c r="AE414" s="91"/>
      <c r="AF414" s="91"/>
      <c r="AG414" s="91" t="s">
        <v>922</v>
      </c>
      <c r="AH414" s="91"/>
      <c r="AI414" s="91"/>
      <c r="AJ414" s="91" t="s">
        <v>1052</v>
      </c>
      <c r="AK414" s="91"/>
      <c r="AL414" s="91" t="s">
        <v>937</v>
      </c>
      <c r="AM414" s="91"/>
      <c r="AN414" s="91" t="s">
        <v>938</v>
      </c>
      <c r="AO414" s="91" t="s">
        <v>945</v>
      </c>
      <c r="AP414" s="91" t="s">
        <v>946</v>
      </c>
      <c r="AQ414" s="91" t="s">
        <v>947</v>
      </c>
      <c r="AR414" s="91" t="s">
        <v>948</v>
      </c>
      <c r="AS414" s="91" t="s">
        <v>951</v>
      </c>
      <c r="AT414" s="91" t="s">
        <v>949</v>
      </c>
      <c r="AU414" s="91" t="s">
        <v>926</v>
      </c>
      <c r="AV414" s="91"/>
      <c r="AW414" s="91"/>
      <c r="AX414" s="91"/>
      <c r="AY414" s="91"/>
      <c r="AZ414" s="91"/>
      <c r="BA414" s="91" t="s">
        <v>792</v>
      </c>
      <c r="BB414" s="426"/>
      <c r="BC414" s="426"/>
      <c r="BD414" s="91" t="s">
        <v>792</v>
      </c>
      <c r="BE414" s="91" t="s">
        <v>927</v>
      </c>
      <c r="BF414" s="426">
        <v>0</v>
      </c>
      <c r="BG414" s="426">
        <v>0</v>
      </c>
      <c r="BH414" s="426">
        <v>0</v>
      </c>
      <c r="BI414" s="426">
        <v>0</v>
      </c>
      <c r="BJ414" s="426">
        <v>0</v>
      </c>
      <c r="BK414" s="426" t="s">
        <v>792</v>
      </c>
      <c r="BL414" s="91" t="s">
        <v>792</v>
      </c>
      <c r="BM414" s="426"/>
      <c r="BN414" s="426"/>
      <c r="BO414" s="91" t="s">
        <v>792</v>
      </c>
      <c r="BP414" s="426"/>
      <c r="BQ414" s="426"/>
      <c r="BR414" s="426"/>
      <c r="BS414" s="100">
        <f t="shared" si="17"/>
        <v>350</v>
      </c>
      <c r="BT414" s="100">
        <f t="shared" si="17"/>
        <v>350</v>
      </c>
      <c r="BU414" s="100">
        <f t="shared" si="16"/>
        <v>0</v>
      </c>
      <c r="BV414" s="100">
        <f t="shared" si="16"/>
        <v>0</v>
      </c>
      <c r="BW414" s="100">
        <f t="shared" si="16"/>
        <v>0</v>
      </c>
    </row>
    <row r="415" spans="1:75" ht="14.7" customHeight="1" outlineLevel="1" x14ac:dyDescent="0.3">
      <c r="A415" s="467" t="str">
        <f t="shared" si="13"/>
        <v>Paquete Negocio 999No residencial</v>
      </c>
      <c r="B415" s="425">
        <f t="shared" si="14"/>
        <v>25</v>
      </c>
      <c r="C415" s="95" t="s">
        <v>202</v>
      </c>
      <c r="D415" s="429" t="s">
        <v>1039</v>
      </c>
      <c r="E415" s="429" t="s">
        <v>794</v>
      </c>
      <c r="F415" s="91">
        <v>843.5</v>
      </c>
      <c r="G415" s="486">
        <v>999</v>
      </c>
      <c r="H415" s="91">
        <v>2</v>
      </c>
      <c r="I415" s="91" t="s">
        <v>941</v>
      </c>
      <c r="J415" s="91" t="s">
        <v>942</v>
      </c>
      <c r="K415" s="91" t="s">
        <v>942</v>
      </c>
      <c r="L415" s="91" t="s">
        <v>942</v>
      </c>
      <c r="M415" s="91">
        <v>5</v>
      </c>
      <c r="N415" s="91" t="s">
        <v>943</v>
      </c>
      <c r="O415" s="91" t="s">
        <v>928</v>
      </c>
      <c r="P415" s="91" t="s">
        <v>1050</v>
      </c>
      <c r="Q415" s="457" t="s">
        <v>792</v>
      </c>
      <c r="R415" s="91"/>
      <c r="S415" s="91"/>
      <c r="T415" s="91"/>
      <c r="U415" s="91" t="s">
        <v>792</v>
      </c>
      <c r="V415" s="91"/>
      <c r="W415" s="91"/>
      <c r="X415" s="91" t="s">
        <v>792</v>
      </c>
      <c r="Y415" s="91"/>
      <c r="Z415" s="91"/>
      <c r="AA415" s="91" t="s">
        <v>792</v>
      </c>
      <c r="AB415" s="91"/>
      <c r="AC415" s="91"/>
      <c r="AD415" s="91" t="s">
        <v>792</v>
      </c>
      <c r="AE415" s="91"/>
      <c r="AF415" s="91"/>
      <c r="AG415" s="91" t="s">
        <v>922</v>
      </c>
      <c r="AH415" s="91"/>
      <c r="AI415" s="91"/>
      <c r="AJ415" s="91" t="s">
        <v>1052</v>
      </c>
      <c r="AK415" s="91"/>
      <c r="AL415" s="91" t="s">
        <v>937</v>
      </c>
      <c r="AM415" s="91"/>
      <c r="AN415" s="91" t="s">
        <v>938</v>
      </c>
      <c r="AO415" s="91" t="s">
        <v>945</v>
      </c>
      <c r="AP415" s="91" t="s">
        <v>946</v>
      </c>
      <c r="AQ415" s="91" t="s">
        <v>947</v>
      </c>
      <c r="AR415" s="91">
        <v>0</v>
      </c>
      <c r="AS415" s="91" t="s">
        <v>951</v>
      </c>
      <c r="AT415" s="91" t="s">
        <v>949</v>
      </c>
      <c r="AU415" s="91" t="s">
        <v>926</v>
      </c>
      <c r="AV415" s="91"/>
      <c r="AW415" s="91"/>
      <c r="AX415" s="91"/>
      <c r="AY415" s="91"/>
      <c r="AZ415" s="91"/>
      <c r="BA415" s="91" t="s">
        <v>792</v>
      </c>
      <c r="BB415" s="426"/>
      <c r="BC415" s="426"/>
      <c r="BD415" s="91" t="s">
        <v>792</v>
      </c>
      <c r="BE415" s="91" t="s">
        <v>927</v>
      </c>
      <c r="BF415" s="426">
        <v>0</v>
      </c>
      <c r="BG415" s="426">
        <v>0</v>
      </c>
      <c r="BH415" s="426">
        <v>0</v>
      </c>
      <c r="BI415" s="426">
        <v>0</v>
      </c>
      <c r="BJ415" s="426">
        <v>0</v>
      </c>
      <c r="BK415" s="426" t="s">
        <v>792</v>
      </c>
      <c r="BL415" s="91" t="s">
        <v>792</v>
      </c>
      <c r="BM415" s="426"/>
      <c r="BN415" s="426"/>
      <c r="BO415" s="91" t="s">
        <v>792</v>
      </c>
      <c r="BP415" s="426"/>
      <c r="BQ415" s="426"/>
      <c r="BR415" s="426"/>
      <c r="BS415" s="100">
        <f t="shared" si="17"/>
        <v>500</v>
      </c>
      <c r="BT415" s="100">
        <f t="shared" si="17"/>
        <v>350</v>
      </c>
      <c r="BU415" s="100">
        <f t="shared" si="16"/>
        <v>0</v>
      </c>
      <c r="BV415" s="100">
        <f t="shared" si="16"/>
        <v>0</v>
      </c>
      <c r="BW415" s="100">
        <f t="shared" si="16"/>
        <v>0</v>
      </c>
    </row>
    <row r="416" spans="1:75" ht="14.7" customHeight="1" outlineLevel="1" x14ac:dyDescent="0.3">
      <c r="A416" s="467" t="str">
        <f t="shared" si="13"/>
        <v>Paquete Telmex Negocio Ilimitado 1No residencial</v>
      </c>
      <c r="B416" s="425">
        <f t="shared" si="14"/>
        <v>26</v>
      </c>
      <c r="C416" s="95" t="s">
        <v>203</v>
      </c>
      <c r="D416" s="429" t="s">
        <v>1039</v>
      </c>
      <c r="E416" s="429" t="s">
        <v>794</v>
      </c>
      <c r="F416" s="91">
        <v>1265.6600000000001</v>
      </c>
      <c r="G416" s="486">
        <v>1499</v>
      </c>
      <c r="H416" s="91">
        <v>2</v>
      </c>
      <c r="I416" s="91" t="s">
        <v>941</v>
      </c>
      <c r="J416" s="91" t="s">
        <v>941</v>
      </c>
      <c r="K416" s="91" t="s">
        <v>942</v>
      </c>
      <c r="L416" s="91" t="s">
        <v>942</v>
      </c>
      <c r="M416" s="91">
        <v>5</v>
      </c>
      <c r="N416" s="91" t="s">
        <v>943</v>
      </c>
      <c r="O416" s="91" t="s">
        <v>961</v>
      </c>
      <c r="P416" s="91" t="s">
        <v>1050</v>
      </c>
      <c r="Q416" s="457" t="s">
        <v>792</v>
      </c>
      <c r="R416" s="91"/>
      <c r="S416" s="91"/>
      <c r="T416" s="91"/>
      <c r="U416" s="91" t="s">
        <v>792</v>
      </c>
      <c r="V416" s="91"/>
      <c r="W416" s="91"/>
      <c r="X416" s="91" t="s">
        <v>792</v>
      </c>
      <c r="Y416" s="91"/>
      <c r="Z416" s="91"/>
      <c r="AA416" s="91" t="s">
        <v>792</v>
      </c>
      <c r="AB416" s="91"/>
      <c r="AC416" s="91"/>
      <c r="AD416" s="91" t="s">
        <v>792</v>
      </c>
      <c r="AE416" s="91"/>
      <c r="AF416" s="91"/>
      <c r="AG416" s="91" t="s">
        <v>922</v>
      </c>
      <c r="AH416" s="91"/>
      <c r="AI416" s="91"/>
      <c r="AJ416" s="91" t="s">
        <v>1052</v>
      </c>
      <c r="AK416" s="91"/>
      <c r="AL416" s="91" t="s">
        <v>937</v>
      </c>
      <c r="AM416" s="91"/>
      <c r="AN416" s="91" t="s">
        <v>938</v>
      </c>
      <c r="AO416" s="91" t="s">
        <v>945</v>
      </c>
      <c r="AP416" s="91" t="s">
        <v>946</v>
      </c>
      <c r="AQ416" s="91"/>
      <c r="AR416" s="91" t="s">
        <v>952</v>
      </c>
      <c r="AS416" s="91" t="s">
        <v>951</v>
      </c>
      <c r="AT416" s="91" t="s">
        <v>949</v>
      </c>
      <c r="AU416" s="91" t="s">
        <v>926</v>
      </c>
      <c r="AV416" s="91"/>
      <c r="AW416" s="91"/>
      <c r="AX416" s="91"/>
      <c r="AY416" s="91"/>
      <c r="AZ416" s="91"/>
      <c r="BA416" s="91" t="s">
        <v>792</v>
      </c>
      <c r="BB416" s="426"/>
      <c r="BC416" s="426"/>
      <c r="BD416" s="91" t="s">
        <v>792</v>
      </c>
      <c r="BE416" s="91" t="s">
        <v>927</v>
      </c>
      <c r="BF416" s="426">
        <v>0</v>
      </c>
      <c r="BG416" s="426">
        <v>0</v>
      </c>
      <c r="BH416" s="426">
        <v>0</v>
      </c>
      <c r="BI416" s="426">
        <v>0</v>
      </c>
      <c r="BJ416" s="426">
        <v>0</v>
      </c>
      <c r="BK416" s="426" t="s">
        <v>792</v>
      </c>
      <c r="BL416" s="91" t="s">
        <v>792</v>
      </c>
      <c r="BM416" s="426"/>
      <c r="BN416" s="426"/>
      <c r="BO416" s="91" t="s">
        <v>792</v>
      </c>
      <c r="BP416" s="426"/>
      <c r="BQ416" s="426"/>
      <c r="BR416" s="426"/>
      <c r="BS416" s="100">
        <f t="shared" si="17"/>
        <v>750</v>
      </c>
      <c r="BT416" s="100">
        <f t="shared" si="17"/>
        <v>350</v>
      </c>
      <c r="BU416" s="100">
        <f t="shared" si="16"/>
        <v>0</v>
      </c>
      <c r="BV416" s="100">
        <f t="shared" si="16"/>
        <v>0</v>
      </c>
      <c r="BW416" s="100">
        <f t="shared" si="16"/>
        <v>0</v>
      </c>
    </row>
    <row r="417" spans="1:75" ht="14.7" customHeight="1" outlineLevel="1" x14ac:dyDescent="0.3">
      <c r="A417" s="467" t="str">
        <f t="shared" si="13"/>
        <v>Paquete Telmex Negocio Ilimitado 2No residencial</v>
      </c>
      <c r="B417" s="425">
        <f t="shared" si="14"/>
        <v>27</v>
      </c>
      <c r="C417" s="95" t="s">
        <v>204</v>
      </c>
      <c r="D417" s="429" t="s">
        <v>1039</v>
      </c>
      <c r="E417" s="429" t="s">
        <v>794</v>
      </c>
      <c r="F417" s="91">
        <v>1510.52</v>
      </c>
      <c r="G417" s="486">
        <v>1789</v>
      </c>
      <c r="H417" s="91">
        <v>4</v>
      </c>
      <c r="I417" s="91" t="s">
        <v>941</v>
      </c>
      <c r="J417" s="91" t="s">
        <v>941</v>
      </c>
      <c r="K417" s="91" t="s">
        <v>942</v>
      </c>
      <c r="L417" s="91" t="s">
        <v>942</v>
      </c>
      <c r="M417" s="91">
        <v>5</v>
      </c>
      <c r="N417" s="91" t="s">
        <v>943</v>
      </c>
      <c r="O417" s="91" t="s">
        <v>961</v>
      </c>
      <c r="P417" s="91" t="s">
        <v>1050</v>
      </c>
      <c r="Q417" s="457" t="s">
        <v>792</v>
      </c>
      <c r="R417" s="91"/>
      <c r="S417" s="91"/>
      <c r="T417" s="91"/>
      <c r="U417" s="91" t="s">
        <v>792</v>
      </c>
      <c r="V417" s="91"/>
      <c r="W417" s="91"/>
      <c r="X417" s="91" t="s">
        <v>792</v>
      </c>
      <c r="Y417" s="91"/>
      <c r="Z417" s="91"/>
      <c r="AA417" s="91" t="s">
        <v>792</v>
      </c>
      <c r="AB417" s="91"/>
      <c r="AC417" s="91"/>
      <c r="AD417" s="91" t="s">
        <v>792</v>
      </c>
      <c r="AE417" s="91"/>
      <c r="AF417" s="91"/>
      <c r="AG417" s="91" t="s">
        <v>922</v>
      </c>
      <c r="AH417" s="91"/>
      <c r="AI417" s="91"/>
      <c r="AJ417" s="91" t="s">
        <v>1052</v>
      </c>
      <c r="AK417" s="91"/>
      <c r="AL417" s="91" t="s">
        <v>937</v>
      </c>
      <c r="AM417" s="91"/>
      <c r="AN417" s="91" t="s">
        <v>938</v>
      </c>
      <c r="AO417" s="91" t="s">
        <v>945</v>
      </c>
      <c r="AP417" s="91" t="s">
        <v>946</v>
      </c>
      <c r="AQ417" s="91"/>
      <c r="AR417" s="91" t="s">
        <v>952</v>
      </c>
      <c r="AS417" s="91" t="s">
        <v>951</v>
      </c>
      <c r="AT417" s="91" t="s">
        <v>949</v>
      </c>
      <c r="AU417" s="91" t="s">
        <v>926</v>
      </c>
      <c r="AV417" s="91"/>
      <c r="AW417" s="91"/>
      <c r="AX417" s="91"/>
      <c r="AY417" s="91"/>
      <c r="AZ417" s="91"/>
      <c r="BA417" s="91" t="s">
        <v>792</v>
      </c>
      <c r="BB417" s="426"/>
      <c r="BC417" s="426"/>
      <c r="BD417" s="91" t="s">
        <v>792</v>
      </c>
      <c r="BE417" s="91" t="s">
        <v>927</v>
      </c>
      <c r="BF417" s="426">
        <v>0</v>
      </c>
      <c r="BG417" s="426">
        <v>0</v>
      </c>
      <c r="BH417" s="426">
        <v>0</v>
      </c>
      <c r="BI417" s="426">
        <v>0</v>
      </c>
      <c r="BJ417" s="426">
        <v>0</v>
      </c>
      <c r="BK417" s="426" t="s">
        <v>792</v>
      </c>
      <c r="BL417" s="91" t="s">
        <v>792</v>
      </c>
      <c r="BM417" s="426"/>
      <c r="BN417" s="426"/>
      <c r="BO417" s="91" t="s">
        <v>792</v>
      </c>
      <c r="BP417" s="426"/>
      <c r="BQ417" s="426"/>
      <c r="BR417" s="426"/>
      <c r="BS417" s="100">
        <f t="shared" si="17"/>
        <v>750</v>
      </c>
      <c r="BT417" s="100">
        <f t="shared" si="17"/>
        <v>350</v>
      </c>
      <c r="BU417" s="100">
        <f t="shared" si="16"/>
        <v>0</v>
      </c>
      <c r="BV417" s="100">
        <f t="shared" si="16"/>
        <v>0</v>
      </c>
      <c r="BW417" s="100">
        <f t="shared" si="16"/>
        <v>0</v>
      </c>
    </row>
    <row r="418" spans="1:75" ht="14.7" customHeight="1" outlineLevel="1" x14ac:dyDescent="0.3">
      <c r="A418" s="467" t="str">
        <f t="shared" si="13"/>
        <v>Paquete Telmex Negocio Ilimitado 3No residencial</v>
      </c>
      <c r="B418" s="425">
        <f t="shared" si="14"/>
        <v>28</v>
      </c>
      <c r="C418" s="95" t="s">
        <v>205</v>
      </c>
      <c r="D418" s="429" t="s">
        <v>1039</v>
      </c>
      <c r="E418" s="429" t="s">
        <v>794</v>
      </c>
      <c r="F418" s="91">
        <v>1932.69</v>
      </c>
      <c r="G418" s="486">
        <v>2289</v>
      </c>
      <c r="H418" s="91">
        <v>6</v>
      </c>
      <c r="I418" s="91" t="s">
        <v>941</v>
      </c>
      <c r="J418" s="91" t="s">
        <v>941</v>
      </c>
      <c r="K418" s="91" t="s">
        <v>942</v>
      </c>
      <c r="L418" s="91" t="s">
        <v>942</v>
      </c>
      <c r="M418" s="91">
        <v>5</v>
      </c>
      <c r="N418" s="91" t="s">
        <v>943</v>
      </c>
      <c r="O418" s="91" t="s">
        <v>950</v>
      </c>
      <c r="P418" s="91" t="s">
        <v>1050</v>
      </c>
      <c r="Q418" s="457" t="s">
        <v>792</v>
      </c>
      <c r="R418" s="91"/>
      <c r="S418" s="91"/>
      <c r="T418" s="91"/>
      <c r="U418" s="91" t="s">
        <v>792</v>
      </c>
      <c r="V418" s="91"/>
      <c r="W418" s="91"/>
      <c r="X418" s="91" t="s">
        <v>792</v>
      </c>
      <c r="Y418" s="91"/>
      <c r="Z418" s="91"/>
      <c r="AA418" s="91" t="s">
        <v>792</v>
      </c>
      <c r="AB418" s="91"/>
      <c r="AC418" s="91"/>
      <c r="AD418" s="91" t="s">
        <v>792</v>
      </c>
      <c r="AE418" s="91"/>
      <c r="AF418" s="91"/>
      <c r="AG418" s="91" t="s">
        <v>922</v>
      </c>
      <c r="AH418" s="91"/>
      <c r="AI418" s="91"/>
      <c r="AJ418" s="91" t="s">
        <v>1052</v>
      </c>
      <c r="AK418" s="91"/>
      <c r="AL418" s="91" t="s">
        <v>937</v>
      </c>
      <c r="AM418" s="91"/>
      <c r="AN418" s="91" t="s">
        <v>938</v>
      </c>
      <c r="AO418" s="91" t="s">
        <v>945</v>
      </c>
      <c r="AP418" s="91" t="s">
        <v>946</v>
      </c>
      <c r="AQ418" s="91"/>
      <c r="AR418" s="91" t="s">
        <v>952</v>
      </c>
      <c r="AS418" s="91" t="s">
        <v>951</v>
      </c>
      <c r="AT418" s="91" t="s">
        <v>949</v>
      </c>
      <c r="AU418" s="91" t="s">
        <v>926</v>
      </c>
      <c r="AV418" s="91"/>
      <c r="AW418" s="91"/>
      <c r="AX418" s="91"/>
      <c r="AY418" s="91"/>
      <c r="AZ418" s="91"/>
      <c r="BA418" s="91" t="s">
        <v>792</v>
      </c>
      <c r="BB418" s="426"/>
      <c r="BC418" s="426"/>
      <c r="BD418" s="91" t="s">
        <v>792</v>
      </c>
      <c r="BE418" s="91" t="s">
        <v>927</v>
      </c>
      <c r="BF418" s="426">
        <v>0</v>
      </c>
      <c r="BG418" s="426">
        <v>0</v>
      </c>
      <c r="BH418" s="426">
        <v>0</v>
      </c>
      <c r="BI418" s="426">
        <v>0</v>
      </c>
      <c r="BJ418" s="426">
        <v>0</v>
      </c>
      <c r="BK418" s="426" t="s">
        <v>792</v>
      </c>
      <c r="BL418" s="91" t="s">
        <v>792</v>
      </c>
      <c r="BM418" s="426"/>
      <c r="BN418" s="426"/>
      <c r="BO418" s="91" t="s">
        <v>792</v>
      </c>
      <c r="BP418" s="426"/>
      <c r="BQ418" s="426"/>
      <c r="BR418" s="426"/>
      <c r="BS418" s="100">
        <f t="shared" si="17"/>
        <v>1000</v>
      </c>
      <c r="BT418" s="100">
        <f t="shared" si="17"/>
        <v>350</v>
      </c>
      <c r="BU418" s="100">
        <f t="shared" si="16"/>
        <v>0</v>
      </c>
      <c r="BV418" s="100">
        <f t="shared" si="16"/>
        <v>0</v>
      </c>
      <c r="BW418" s="100">
        <f t="shared" si="16"/>
        <v>0</v>
      </c>
    </row>
    <row r="419" spans="1:75" ht="14.7" customHeight="1" outlineLevel="1" x14ac:dyDescent="0.3">
      <c r="A419" s="467" t="str">
        <f t="shared" si="13"/>
        <v>Infinitum 299 NNo residencial</v>
      </c>
      <c r="B419" s="425">
        <f t="shared" si="14"/>
        <v>29</v>
      </c>
      <c r="C419" s="513" t="s">
        <v>187</v>
      </c>
      <c r="D419" s="429" t="s">
        <v>1039</v>
      </c>
      <c r="E419" s="429" t="s">
        <v>791</v>
      </c>
      <c r="F419" s="91">
        <v>257.76</v>
      </c>
      <c r="G419" s="486">
        <v>299</v>
      </c>
      <c r="H419" s="91"/>
      <c r="I419" s="91"/>
      <c r="J419" s="91"/>
      <c r="K419" s="91"/>
      <c r="L419" s="91"/>
      <c r="M419" s="91"/>
      <c r="N419" s="91"/>
      <c r="O419" s="91" t="s">
        <v>935</v>
      </c>
      <c r="P419" s="91" t="s">
        <v>920</v>
      </c>
      <c r="Q419" s="457" t="s">
        <v>792</v>
      </c>
      <c r="R419" s="91"/>
      <c r="S419" s="91"/>
      <c r="T419" s="91"/>
      <c r="U419" s="91" t="s">
        <v>792</v>
      </c>
      <c r="V419" s="91"/>
      <c r="W419" s="91"/>
      <c r="X419" s="91" t="s">
        <v>792</v>
      </c>
      <c r="Y419" s="91"/>
      <c r="Z419" s="91"/>
      <c r="AA419" s="91" t="s">
        <v>792</v>
      </c>
      <c r="AB419" s="91"/>
      <c r="AC419" s="91"/>
      <c r="AD419" s="91" t="s">
        <v>792</v>
      </c>
      <c r="AE419" s="91"/>
      <c r="AF419" s="91"/>
      <c r="AG419" s="91" t="s">
        <v>922</v>
      </c>
      <c r="AH419" s="91"/>
      <c r="AI419" s="91"/>
      <c r="AJ419" s="91"/>
      <c r="AK419" s="91"/>
      <c r="AL419" s="91"/>
      <c r="AM419" s="91"/>
      <c r="AN419" s="91"/>
      <c r="AO419" s="91"/>
      <c r="AP419" s="91"/>
      <c r="AQ419" s="91"/>
      <c r="AR419" s="91"/>
      <c r="AS419" s="91"/>
      <c r="AT419" s="91"/>
      <c r="AU419" s="91"/>
      <c r="AV419" s="91"/>
      <c r="AW419" s="91"/>
      <c r="AX419" s="91"/>
      <c r="AY419" s="91"/>
      <c r="AZ419" s="91"/>
      <c r="BA419" s="91" t="s">
        <v>792</v>
      </c>
      <c r="BB419" s="426"/>
      <c r="BC419" s="426"/>
      <c r="BD419" s="91" t="s">
        <v>792</v>
      </c>
      <c r="BE419" s="91" t="s">
        <v>927</v>
      </c>
      <c r="BF419" s="426">
        <v>0</v>
      </c>
      <c r="BG419" s="426">
        <v>0</v>
      </c>
      <c r="BH419" s="426">
        <v>0</v>
      </c>
      <c r="BI419" s="426">
        <v>0</v>
      </c>
      <c r="BJ419" s="426">
        <v>0</v>
      </c>
      <c r="BK419" s="426" t="s">
        <v>792</v>
      </c>
      <c r="BL419" s="91" t="s">
        <v>792</v>
      </c>
      <c r="BM419" s="426"/>
      <c r="BN419" s="426"/>
      <c r="BO419" s="91" t="s">
        <v>792</v>
      </c>
      <c r="BP419" s="426"/>
      <c r="BQ419" s="426"/>
      <c r="BR419" s="426"/>
      <c r="BS419" s="100">
        <f t="shared" si="17"/>
        <v>40</v>
      </c>
      <c r="BT419" s="100">
        <f t="shared" si="17"/>
        <v>5</v>
      </c>
      <c r="BU419" s="100">
        <f t="shared" si="16"/>
        <v>0</v>
      </c>
      <c r="BV419" s="100">
        <f t="shared" si="16"/>
        <v>0</v>
      </c>
      <c r="BW419" s="100">
        <f t="shared" si="16"/>
        <v>0</v>
      </c>
    </row>
    <row r="420" spans="1:75" ht="14.7" customHeight="1" outlineLevel="1" x14ac:dyDescent="0.3">
      <c r="A420" s="467" t="str">
        <f t="shared" si="13"/>
        <v>Infinitum Negocio 349No residencial</v>
      </c>
      <c r="B420" s="425">
        <f t="shared" si="14"/>
        <v>30</v>
      </c>
      <c r="C420" s="95" t="s">
        <v>189</v>
      </c>
      <c r="D420" s="429" t="s">
        <v>1039</v>
      </c>
      <c r="E420" s="429" t="s">
        <v>791</v>
      </c>
      <c r="F420" s="91">
        <v>300.86</v>
      </c>
      <c r="G420" s="486">
        <v>348.99759999999998</v>
      </c>
      <c r="H420" s="91"/>
      <c r="I420" s="91"/>
      <c r="J420" s="91"/>
      <c r="K420" s="91"/>
      <c r="L420" s="91"/>
      <c r="M420" s="91"/>
      <c r="N420" s="91"/>
      <c r="O420" s="499" t="s">
        <v>959</v>
      </c>
      <c r="P420" s="91" t="s">
        <v>959</v>
      </c>
      <c r="Q420" s="457" t="s">
        <v>793</v>
      </c>
      <c r="R420" s="91">
        <v>6</v>
      </c>
      <c r="S420" s="91">
        <v>150</v>
      </c>
      <c r="T420" s="91">
        <f>+S420</f>
        <v>150</v>
      </c>
      <c r="U420" s="91" t="s">
        <v>792</v>
      </c>
      <c r="V420" s="91"/>
      <c r="W420" s="91"/>
      <c r="X420" s="91" t="s">
        <v>792</v>
      </c>
      <c r="Y420" s="91"/>
      <c r="Z420" s="91"/>
      <c r="AA420" s="91" t="s">
        <v>792</v>
      </c>
      <c r="AB420" s="91"/>
      <c r="AC420" s="91"/>
      <c r="AD420" s="91" t="s">
        <v>792</v>
      </c>
      <c r="AE420" s="91"/>
      <c r="AF420" s="91"/>
      <c r="AG420" s="91" t="s">
        <v>922</v>
      </c>
      <c r="AH420" s="91"/>
      <c r="AI420" s="91"/>
      <c r="AJ420" s="91" t="s">
        <v>1052</v>
      </c>
      <c r="AK420" s="91"/>
      <c r="AL420" s="91" t="s">
        <v>937</v>
      </c>
      <c r="AM420" s="91"/>
      <c r="AN420" s="91" t="s">
        <v>938</v>
      </c>
      <c r="AO420" s="91"/>
      <c r="AP420" s="91"/>
      <c r="AQ420" s="91"/>
      <c r="AR420" s="91"/>
      <c r="AS420" s="91"/>
      <c r="AT420" s="91"/>
      <c r="AU420" s="91" t="s">
        <v>926</v>
      </c>
      <c r="AV420" s="91"/>
      <c r="AW420" s="91"/>
      <c r="AX420" s="91"/>
      <c r="AY420" s="91"/>
      <c r="AZ420" s="91"/>
      <c r="BA420" s="91" t="s">
        <v>792</v>
      </c>
      <c r="BB420" s="426"/>
      <c r="BC420" s="426"/>
      <c r="BD420" s="91" t="s">
        <v>792</v>
      </c>
      <c r="BE420" s="91" t="s">
        <v>927</v>
      </c>
      <c r="BF420" s="426">
        <v>0</v>
      </c>
      <c r="BG420" s="426">
        <v>0</v>
      </c>
      <c r="BH420" s="426">
        <v>0</v>
      </c>
      <c r="BI420" s="426">
        <v>0</v>
      </c>
      <c r="BJ420" s="426">
        <v>0</v>
      </c>
      <c r="BK420" s="426" t="s">
        <v>792</v>
      </c>
      <c r="BL420" s="91" t="s">
        <v>792</v>
      </c>
      <c r="BM420" s="426"/>
      <c r="BN420" s="426"/>
      <c r="BO420" s="91" t="s">
        <v>792</v>
      </c>
      <c r="BP420" s="426"/>
      <c r="BQ420" s="426"/>
      <c r="BR420" s="426"/>
      <c r="BS420" s="100">
        <f t="shared" si="17"/>
        <v>80</v>
      </c>
      <c r="BT420" s="100">
        <f t="shared" si="17"/>
        <v>80</v>
      </c>
      <c r="BU420" s="100">
        <f t="shared" si="16"/>
        <v>6</v>
      </c>
      <c r="BV420" s="100">
        <f t="shared" si="16"/>
        <v>150</v>
      </c>
      <c r="BW420" s="100">
        <f t="shared" si="16"/>
        <v>150</v>
      </c>
    </row>
    <row r="421" spans="1:75" ht="14.7" customHeight="1" outlineLevel="1" x14ac:dyDescent="0.3">
      <c r="A421" s="467" t="str">
        <f t="shared" si="13"/>
        <v>Infinitum Negocio 399No residencial</v>
      </c>
      <c r="B421" s="425">
        <f t="shared" si="14"/>
        <v>31</v>
      </c>
      <c r="C421" s="95" t="s">
        <v>191</v>
      </c>
      <c r="D421" s="429" t="s">
        <v>1039</v>
      </c>
      <c r="E421" s="429" t="s">
        <v>791</v>
      </c>
      <c r="F421" s="91">
        <v>343.97</v>
      </c>
      <c r="G421" s="486">
        <v>398.99520000000001</v>
      </c>
      <c r="H421" s="91"/>
      <c r="I421" s="91"/>
      <c r="J421" s="91"/>
      <c r="K421" s="91"/>
      <c r="L421" s="91"/>
      <c r="M421" s="91"/>
      <c r="N421" s="91"/>
      <c r="O421" s="499" t="s">
        <v>930</v>
      </c>
      <c r="P421" s="91" t="s">
        <v>930</v>
      </c>
      <c r="Q421" s="457" t="s">
        <v>793</v>
      </c>
      <c r="R421" s="91">
        <v>6</v>
      </c>
      <c r="S421" s="91">
        <v>150</v>
      </c>
      <c r="T421" s="91">
        <f>+S421</f>
        <v>150</v>
      </c>
      <c r="U421" s="91" t="s">
        <v>792</v>
      </c>
      <c r="V421" s="91"/>
      <c r="W421" s="91"/>
      <c r="X421" s="91" t="s">
        <v>792</v>
      </c>
      <c r="Y421" s="91"/>
      <c r="Z421" s="91"/>
      <c r="AA421" s="91" t="s">
        <v>792</v>
      </c>
      <c r="AB421" s="91"/>
      <c r="AC421" s="91"/>
      <c r="AD421" s="91" t="s">
        <v>792</v>
      </c>
      <c r="AE421" s="91"/>
      <c r="AF421" s="91"/>
      <c r="AG421" s="91" t="s">
        <v>922</v>
      </c>
      <c r="AH421" s="91"/>
      <c r="AI421" s="91"/>
      <c r="AJ421" s="91" t="s">
        <v>1052</v>
      </c>
      <c r="AK421" s="91"/>
      <c r="AL421" s="91" t="s">
        <v>937</v>
      </c>
      <c r="AM421" s="91"/>
      <c r="AN421" s="91" t="s">
        <v>938</v>
      </c>
      <c r="AO421" s="91"/>
      <c r="AP421" s="91"/>
      <c r="AQ421" s="91"/>
      <c r="AR421" s="91"/>
      <c r="AS421" s="91"/>
      <c r="AT421" s="91"/>
      <c r="AU421" s="91" t="s">
        <v>926</v>
      </c>
      <c r="AV421" s="91"/>
      <c r="AW421" s="91"/>
      <c r="AX421" s="91"/>
      <c r="AY421" s="91"/>
      <c r="AZ421" s="91"/>
      <c r="BA421" s="91" t="s">
        <v>792</v>
      </c>
      <c r="BB421" s="426"/>
      <c r="BC421" s="426"/>
      <c r="BD421" s="91" t="s">
        <v>792</v>
      </c>
      <c r="BE421" s="91" t="s">
        <v>927</v>
      </c>
      <c r="BF421" s="426">
        <v>0</v>
      </c>
      <c r="BG421" s="426">
        <v>0</v>
      </c>
      <c r="BH421" s="426">
        <v>0</v>
      </c>
      <c r="BI421" s="426">
        <v>0</v>
      </c>
      <c r="BJ421" s="426">
        <v>0</v>
      </c>
      <c r="BK421" s="426" t="s">
        <v>792</v>
      </c>
      <c r="BL421" s="91" t="s">
        <v>792</v>
      </c>
      <c r="BM421" s="426"/>
      <c r="BN421" s="426"/>
      <c r="BO421" s="91" t="s">
        <v>792</v>
      </c>
      <c r="BP421" s="426"/>
      <c r="BQ421" s="426"/>
      <c r="BR421" s="426"/>
      <c r="BS421" s="100">
        <f t="shared" si="17"/>
        <v>100</v>
      </c>
      <c r="BT421" s="100">
        <f t="shared" si="17"/>
        <v>100</v>
      </c>
      <c r="BU421" s="100">
        <f t="shared" si="16"/>
        <v>6</v>
      </c>
      <c r="BV421" s="100">
        <f t="shared" si="16"/>
        <v>150</v>
      </c>
      <c r="BW421" s="100">
        <f t="shared" si="16"/>
        <v>150</v>
      </c>
    </row>
    <row r="422" spans="1:75" ht="14.7" customHeight="1" outlineLevel="1" x14ac:dyDescent="0.3">
      <c r="A422" s="467" t="str">
        <f t="shared" si="13"/>
        <v>Infinitum Negocio 449No residencial</v>
      </c>
      <c r="B422" s="425">
        <f t="shared" si="14"/>
        <v>32</v>
      </c>
      <c r="C422" s="95" t="s">
        <v>192</v>
      </c>
      <c r="D422" s="429" t="s">
        <v>1039</v>
      </c>
      <c r="E422" s="429" t="s">
        <v>791</v>
      </c>
      <c r="F422" s="91">
        <v>387.07</v>
      </c>
      <c r="G422" s="486">
        <v>449</v>
      </c>
      <c r="H422" s="91"/>
      <c r="I422" s="91"/>
      <c r="J422" s="91"/>
      <c r="K422" s="91"/>
      <c r="L422" s="91"/>
      <c r="M422" s="91"/>
      <c r="N422" s="91"/>
      <c r="O422" s="499" t="s">
        <v>944</v>
      </c>
      <c r="P422" s="91" t="s">
        <v>933</v>
      </c>
      <c r="Q422" s="457" t="s">
        <v>792</v>
      </c>
      <c r="R422" s="91"/>
      <c r="S422" s="91"/>
      <c r="T422" s="91"/>
      <c r="U422" s="91" t="s">
        <v>792</v>
      </c>
      <c r="V422" s="91"/>
      <c r="W422" s="91"/>
      <c r="X422" s="91" t="s">
        <v>792</v>
      </c>
      <c r="Y422" s="91"/>
      <c r="Z422" s="91"/>
      <c r="AA422" s="91" t="s">
        <v>792</v>
      </c>
      <c r="AB422" s="91"/>
      <c r="AC422" s="91"/>
      <c r="AD422" s="91" t="s">
        <v>792</v>
      </c>
      <c r="AE422" s="91"/>
      <c r="AF422" s="91"/>
      <c r="AG422" s="91" t="s">
        <v>922</v>
      </c>
      <c r="AH422" s="91"/>
      <c r="AI422" s="91"/>
      <c r="AJ422" s="91" t="s">
        <v>1052</v>
      </c>
      <c r="AK422" s="91"/>
      <c r="AL422" s="91" t="s">
        <v>937</v>
      </c>
      <c r="AM422" s="91"/>
      <c r="AN422" s="91" t="s">
        <v>938</v>
      </c>
      <c r="AO422" s="91"/>
      <c r="AP422" s="91"/>
      <c r="AQ422" s="91"/>
      <c r="AR422" s="91"/>
      <c r="AS422" s="91"/>
      <c r="AT422" s="91"/>
      <c r="AU422" s="91" t="s">
        <v>926</v>
      </c>
      <c r="AV422" s="91"/>
      <c r="AW422" s="91"/>
      <c r="AX422" s="91"/>
      <c r="AY422" s="91"/>
      <c r="AZ422" s="91"/>
      <c r="BA422" s="91" t="s">
        <v>792</v>
      </c>
      <c r="BB422" s="426"/>
      <c r="BC422" s="426"/>
      <c r="BD422" s="91" t="s">
        <v>792</v>
      </c>
      <c r="BE422" s="91" t="s">
        <v>927</v>
      </c>
      <c r="BF422" s="426">
        <v>0</v>
      </c>
      <c r="BG422" s="426">
        <v>0</v>
      </c>
      <c r="BH422" s="426">
        <v>0</v>
      </c>
      <c r="BI422" s="426">
        <v>0</v>
      </c>
      <c r="BJ422" s="426">
        <v>0</v>
      </c>
      <c r="BK422" s="426" t="s">
        <v>792</v>
      </c>
      <c r="BL422" s="91" t="s">
        <v>792</v>
      </c>
      <c r="BM422" s="426"/>
      <c r="BN422" s="426"/>
      <c r="BO422" s="91" t="s">
        <v>792</v>
      </c>
      <c r="BP422" s="426"/>
      <c r="BQ422" s="426"/>
      <c r="BR422" s="426"/>
      <c r="BS422" s="100">
        <f t="shared" si="17"/>
        <v>150</v>
      </c>
      <c r="BT422" s="100">
        <f t="shared" si="17"/>
        <v>20</v>
      </c>
      <c r="BU422" s="100">
        <f t="shared" si="16"/>
        <v>0</v>
      </c>
      <c r="BV422" s="100">
        <f t="shared" si="16"/>
        <v>0</v>
      </c>
      <c r="BW422" s="100">
        <f t="shared" si="16"/>
        <v>0</v>
      </c>
    </row>
    <row r="423" spans="1:75" ht="14.7" customHeight="1" outlineLevel="1" x14ac:dyDescent="0.3">
      <c r="A423" s="467" t="str">
        <f t="shared" si="13"/>
        <v>Infinitum Negocio 499No residencial</v>
      </c>
      <c r="B423" s="425">
        <f t="shared" si="14"/>
        <v>33</v>
      </c>
      <c r="C423" s="95" t="s">
        <v>1040</v>
      </c>
      <c r="D423" s="429" t="s">
        <v>1039</v>
      </c>
      <c r="E423" s="429" t="s">
        <v>791</v>
      </c>
      <c r="F423" s="91">
        <v>430.17</v>
      </c>
      <c r="G423" s="486">
        <v>499</v>
      </c>
      <c r="H423" s="91"/>
      <c r="I423" s="91"/>
      <c r="J423" s="91"/>
      <c r="K423" s="91"/>
      <c r="L423" s="91"/>
      <c r="M423" s="91"/>
      <c r="N423" s="91"/>
      <c r="O423" s="91" t="s">
        <v>1051</v>
      </c>
      <c r="P423" s="91" t="s">
        <v>1051</v>
      </c>
      <c r="Q423" s="457" t="s">
        <v>792</v>
      </c>
      <c r="R423" s="91"/>
      <c r="S423" s="91"/>
      <c r="T423" s="91"/>
      <c r="U423" s="91" t="s">
        <v>792</v>
      </c>
      <c r="V423" s="91"/>
      <c r="W423" s="91"/>
      <c r="X423" s="91" t="s">
        <v>792</v>
      </c>
      <c r="Y423" s="91"/>
      <c r="Z423" s="91"/>
      <c r="AA423" s="91" t="s">
        <v>792</v>
      </c>
      <c r="AB423" s="91"/>
      <c r="AC423" s="91"/>
      <c r="AD423" s="91" t="s">
        <v>792</v>
      </c>
      <c r="AE423" s="91"/>
      <c r="AF423" s="91"/>
      <c r="AG423" s="91" t="s">
        <v>922</v>
      </c>
      <c r="AH423" s="91"/>
      <c r="AI423" s="91"/>
      <c r="AJ423" s="91" t="s">
        <v>1052</v>
      </c>
      <c r="AK423" s="91"/>
      <c r="AL423" s="91" t="s">
        <v>924</v>
      </c>
      <c r="AM423" s="91"/>
      <c r="AN423" s="91" t="s">
        <v>938</v>
      </c>
      <c r="AO423" s="91"/>
      <c r="AP423" s="91"/>
      <c r="AQ423" s="91"/>
      <c r="AR423" s="91"/>
      <c r="AS423" s="91"/>
      <c r="AT423" s="91"/>
      <c r="AU423" s="91" t="s">
        <v>926</v>
      </c>
      <c r="AV423" s="91"/>
      <c r="AW423" s="91"/>
      <c r="AX423" s="91"/>
      <c r="AY423" s="91"/>
      <c r="AZ423" s="91"/>
      <c r="BA423" s="91" t="s">
        <v>792</v>
      </c>
      <c r="BB423" s="426"/>
      <c r="BC423" s="426"/>
      <c r="BD423" s="91" t="s">
        <v>792</v>
      </c>
      <c r="BE423" s="91" t="s">
        <v>927</v>
      </c>
      <c r="BF423" s="426">
        <v>0</v>
      </c>
      <c r="BG423" s="426">
        <v>0</v>
      </c>
      <c r="BH423" s="426">
        <v>0</v>
      </c>
      <c r="BI423" s="426">
        <v>0</v>
      </c>
      <c r="BJ423" s="426">
        <v>0</v>
      </c>
      <c r="BK423" s="426" t="s">
        <v>792</v>
      </c>
      <c r="BL423" s="91" t="s">
        <v>792</v>
      </c>
      <c r="BM423" s="426"/>
      <c r="BN423" s="426"/>
      <c r="BO423" s="91" t="s">
        <v>792</v>
      </c>
      <c r="BP423" s="426"/>
      <c r="BQ423" s="426"/>
      <c r="BR423" s="426"/>
      <c r="BS423" s="100">
        <f t="shared" si="17"/>
        <v>250</v>
      </c>
      <c r="BT423" s="100">
        <f t="shared" si="17"/>
        <v>250</v>
      </c>
      <c r="BU423" s="100">
        <f t="shared" si="16"/>
        <v>0</v>
      </c>
      <c r="BV423" s="100">
        <f t="shared" si="16"/>
        <v>0</v>
      </c>
      <c r="BW423" s="100">
        <f t="shared" si="16"/>
        <v>0</v>
      </c>
    </row>
    <row r="424" spans="1:75" ht="14.7" customHeight="1" outlineLevel="1" x14ac:dyDescent="0.3">
      <c r="A424" s="467" t="str">
        <f t="shared" si="13"/>
        <v>Infinitum Negocio 549No residencial</v>
      </c>
      <c r="B424" s="425">
        <f t="shared" si="14"/>
        <v>34</v>
      </c>
      <c r="C424" s="95" t="s">
        <v>193</v>
      </c>
      <c r="D424" s="429" t="s">
        <v>1039</v>
      </c>
      <c r="E424" s="429" t="s">
        <v>791</v>
      </c>
      <c r="F424" s="91">
        <v>473.28</v>
      </c>
      <c r="G424" s="486">
        <v>549</v>
      </c>
      <c r="H424" s="91"/>
      <c r="I424" s="91"/>
      <c r="J424" s="91"/>
      <c r="K424" s="91"/>
      <c r="L424" s="91"/>
      <c r="M424" s="91"/>
      <c r="N424" s="91"/>
      <c r="O424" s="499" t="s">
        <v>1050</v>
      </c>
      <c r="P424" s="91" t="s">
        <v>1050</v>
      </c>
      <c r="Q424" s="457" t="s">
        <v>792</v>
      </c>
      <c r="R424" s="91"/>
      <c r="S424" s="91"/>
      <c r="T424" s="91"/>
      <c r="U424" s="91" t="s">
        <v>792</v>
      </c>
      <c r="V424" s="91"/>
      <c r="W424" s="91"/>
      <c r="X424" s="91" t="s">
        <v>792</v>
      </c>
      <c r="Y424" s="91"/>
      <c r="Z424" s="91"/>
      <c r="AA424" s="91" t="s">
        <v>792</v>
      </c>
      <c r="AB424" s="91"/>
      <c r="AC424" s="91"/>
      <c r="AD424" s="91" t="s">
        <v>792</v>
      </c>
      <c r="AE424" s="91"/>
      <c r="AF424" s="91"/>
      <c r="AG424" s="91" t="s">
        <v>922</v>
      </c>
      <c r="AH424" s="91"/>
      <c r="AI424" s="91"/>
      <c r="AJ424" s="91" t="s">
        <v>1052</v>
      </c>
      <c r="AK424" s="91"/>
      <c r="AL424" s="91" t="s">
        <v>937</v>
      </c>
      <c r="AM424" s="91"/>
      <c r="AN424" s="91" t="s">
        <v>938</v>
      </c>
      <c r="AO424" s="91"/>
      <c r="AP424" s="91"/>
      <c r="AQ424" s="91"/>
      <c r="AR424" s="91"/>
      <c r="AS424" s="91"/>
      <c r="AT424" s="91"/>
      <c r="AU424" s="91" t="s">
        <v>926</v>
      </c>
      <c r="AV424" s="91"/>
      <c r="AW424" s="91"/>
      <c r="AX424" s="91"/>
      <c r="AY424" s="91"/>
      <c r="AZ424" s="91"/>
      <c r="BA424" s="91" t="s">
        <v>792</v>
      </c>
      <c r="BB424" s="426"/>
      <c r="BC424" s="426"/>
      <c r="BD424" s="91" t="s">
        <v>792</v>
      </c>
      <c r="BE424" s="91" t="s">
        <v>927</v>
      </c>
      <c r="BF424" s="426">
        <v>0</v>
      </c>
      <c r="BG424" s="426">
        <v>0</v>
      </c>
      <c r="BH424" s="426">
        <v>0</v>
      </c>
      <c r="BI424" s="426">
        <v>0</v>
      </c>
      <c r="BJ424" s="426">
        <v>0</v>
      </c>
      <c r="BK424" s="426" t="s">
        <v>792</v>
      </c>
      <c r="BL424" s="91" t="s">
        <v>792</v>
      </c>
      <c r="BM424" s="426"/>
      <c r="BN424" s="426"/>
      <c r="BO424" s="91" t="s">
        <v>792</v>
      </c>
      <c r="BP424" s="426"/>
      <c r="BQ424" s="426"/>
      <c r="BR424" s="426"/>
      <c r="BS424" s="100">
        <f t="shared" si="17"/>
        <v>350</v>
      </c>
      <c r="BT424" s="100">
        <f t="shared" si="17"/>
        <v>350</v>
      </c>
      <c r="BU424" s="100">
        <f t="shared" si="16"/>
        <v>0</v>
      </c>
      <c r="BV424" s="100">
        <f t="shared" si="16"/>
        <v>0</v>
      </c>
      <c r="BW424" s="100">
        <f t="shared" si="16"/>
        <v>0</v>
      </c>
    </row>
    <row r="425" spans="1:75" ht="14.7" customHeight="1" outlineLevel="1" x14ac:dyDescent="0.3">
      <c r="A425" s="467" t="str">
        <f t="shared" si="13"/>
        <v>Infinitum Negocio 649No residencial</v>
      </c>
      <c r="B425" s="425">
        <f t="shared" si="14"/>
        <v>35</v>
      </c>
      <c r="C425" s="95" t="s">
        <v>1041</v>
      </c>
      <c r="D425" s="429" t="s">
        <v>1039</v>
      </c>
      <c r="E425" s="429" t="s">
        <v>791</v>
      </c>
      <c r="F425" s="91">
        <v>559.48</v>
      </c>
      <c r="G425" s="486">
        <v>649</v>
      </c>
      <c r="H425" s="91"/>
      <c r="I425" s="91"/>
      <c r="J425" s="91"/>
      <c r="K425" s="91"/>
      <c r="L425" s="91"/>
      <c r="M425" s="91"/>
      <c r="N425" s="91"/>
      <c r="O425" s="91" t="s">
        <v>928</v>
      </c>
      <c r="P425" s="91" t="s">
        <v>1050</v>
      </c>
      <c r="Q425" s="457" t="s">
        <v>792</v>
      </c>
      <c r="R425" s="91"/>
      <c r="S425" s="91"/>
      <c r="T425" s="91"/>
      <c r="U425" s="91" t="s">
        <v>792</v>
      </c>
      <c r="V425" s="91"/>
      <c r="W425" s="91"/>
      <c r="X425" s="91" t="s">
        <v>792</v>
      </c>
      <c r="Y425" s="91"/>
      <c r="Z425" s="91"/>
      <c r="AA425" s="91" t="s">
        <v>792</v>
      </c>
      <c r="AB425" s="91"/>
      <c r="AC425" s="91"/>
      <c r="AD425" s="91" t="s">
        <v>792</v>
      </c>
      <c r="AE425" s="91"/>
      <c r="AF425" s="91"/>
      <c r="AG425" s="91" t="s">
        <v>922</v>
      </c>
      <c r="AH425" s="91"/>
      <c r="AI425" s="91"/>
      <c r="AJ425" s="91" t="s">
        <v>1052</v>
      </c>
      <c r="AK425" s="91"/>
      <c r="AL425" s="91" t="s">
        <v>924</v>
      </c>
      <c r="AM425" s="91"/>
      <c r="AN425" s="91" t="s">
        <v>938</v>
      </c>
      <c r="AO425" s="91"/>
      <c r="AP425" s="91"/>
      <c r="AQ425" s="91"/>
      <c r="AR425" s="91"/>
      <c r="AS425" s="91"/>
      <c r="AT425" s="91"/>
      <c r="AU425" s="91" t="s">
        <v>926</v>
      </c>
      <c r="AV425" s="91"/>
      <c r="AW425" s="91"/>
      <c r="AX425" s="91"/>
      <c r="AY425" s="91"/>
      <c r="AZ425" s="91"/>
      <c r="BA425" s="91" t="s">
        <v>792</v>
      </c>
      <c r="BB425" s="426"/>
      <c r="BC425" s="426"/>
      <c r="BD425" s="91" t="s">
        <v>792</v>
      </c>
      <c r="BE425" s="91" t="s">
        <v>927</v>
      </c>
      <c r="BF425" s="426">
        <v>0</v>
      </c>
      <c r="BG425" s="426">
        <v>0</v>
      </c>
      <c r="BH425" s="426">
        <v>0</v>
      </c>
      <c r="BI425" s="426">
        <v>0</v>
      </c>
      <c r="BJ425" s="426">
        <v>0</v>
      </c>
      <c r="BK425" s="426" t="s">
        <v>792</v>
      </c>
      <c r="BL425" s="91" t="s">
        <v>792</v>
      </c>
      <c r="BM425" s="426"/>
      <c r="BN425" s="426"/>
      <c r="BO425" s="91" t="s">
        <v>792</v>
      </c>
      <c r="BP425" s="426"/>
      <c r="BQ425" s="426"/>
      <c r="BR425" s="426"/>
      <c r="BS425" s="100">
        <f t="shared" si="17"/>
        <v>500</v>
      </c>
      <c r="BT425" s="100">
        <f t="shared" si="17"/>
        <v>350</v>
      </c>
      <c r="BU425" s="100">
        <f t="shared" si="16"/>
        <v>0</v>
      </c>
      <c r="BV425" s="100">
        <f t="shared" si="16"/>
        <v>0</v>
      </c>
      <c r="BW425" s="100">
        <f t="shared" si="16"/>
        <v>0</v>
      </c>
    </row>
    <row r="426" spans="1:75" ht="14.7" customHeight="1" outlineLevel="1" x14ac:dyDescent="0.3">
      <c r="A426" s="467" t="str">
        <f t="shared" si="13"/>
        <v>Infinitum Negocio 899No residencial</v>
      </c>
      <c r="B426" s="425">
        <f t="shared" si="14"/>
        <v>36</v>
      </c>
      <c r="C426" s="95" t="s">
        <v>195</v>
      </c>
      <c r="D426" s="429" t="s">
        <v>1039</v>
      </c>
      <c r="E426" s="429" t="s">
        <v>791</v>
      </c>
      <c r="F426" s="91">
        <v>775</v>
      </c>
      <c r="G426" s="486">
        <v>898.99999999999989</v>
      </c>
      <c r="H426" s="91"/>
      <c r="I426" s="91"/>
      <c r="J426" s="91"/>
      <c r="K426" s="91"/>
      <c r="L426" s="91"/>
      <c r="M426" s="91"/>
      <c r="N426" s="91"/>
      <c r="O426" s="91" t="s">
        <v>961</v>
      </c>
      <c r="P426" s="91" t="s">
        <v>960</v>
      </c>
      <c r="Q426" s="457" t="s">
        <v>792</v>
      </c>
      <c r="R426" s="91"/>
      <c r="S426" s="91"/>
      <c r="T426" s="91"/>
      <c r="U426" s="91" t="s">
        <v>792</v>
      </c>
      <c r="V426" s="91"/>
      <c r="W426" s="91"/>
      <c r="X426" s="91" t="s">
        <v>792</v>
      </c>
      <c r="Y426" s="91"/>
      <c r="Z426" s="91"/>
      <c r="AA426" s="91" t="s">
        <v>792</v>
      </c>
      <c r="AB426" s="91"/>
      <c r="AC426" s="91"/>
      <c r="AD426" s="91" t="s">
        <v>792</v>
      </c>
      <c r="AE426" s="91"/>
      <c r="AF426" s="91"/>
      <c r="AG426" s="91" t="s">
        <v>922</v>
      </c>
      <c r="AH426" s="91"/>
      <c r="AI426" s="91"/>
      <c r="AJ426" s="91" t="s">
        <v>1052</v>
      </c>
      <c r="AK426" s="91"/>
      <c r="AL426" s="91" t="s">
        <v>937</v>
      </c>
      <c r="AM426" s="91"/>
      <c r="AN426" s="91" t="s">
        <v>938</v>
      </c>
      <c r="AO426" s="91"/>
      <c r="AP426" s="91"/>
      <c r="AQ426" s="91"/>
      <c r="AR426" s="91"/>
      <c r="AS426" s="91"/>
      <c r="AT426" s="91"/>
      <c r="AU426" s="91" t="s">
        <v>926</v>
      </c>
      <c r="AV426" s="91"/>
      <c r="AW426" s="91"/>
      <c r="AX426" s="91"/>
      <c r="AY426" s="91"/>
      <c r="AZ426" s="91"/>
      <c r="BA426" s="91" t="s">
        <v>792</v>
      </c>
      <c r="BB426" s="426"/>
      <c r="BC426" s="426"/>
      <c r="BD426" s="91" t="s">
        <v>792</v>
      </c>
      <c r="BE426" s="91" t="s">
        <v>927</v>
      </c>
      <c r="BF426" s="426">
        <v>0</v>
      </c>
      <c r="BG426" s="426">
        <v>0</v>
      </c>
      <c r="BH426" s="426">
        <v>0</v>
      </c>
      <c r="BI426" s="426">
        <v>0</v>
      </c>
      <c r="BJ426" s="426">
        <v>0</v>
      </c>
      <c r="BK426" s="426" t="s">
        <v>792</v>
      </c>
      <c r="BL426" s="91" t="s">
        <v>792</v>
      </c>
      <c r="BM426" s="426"/>
      <c r="BN426" s="426"/>
      <c r="BO426" s="91" t="s">
        <v>792</v>
      </c>
      <c r="BP426" s="426"/>
      <c r="BQ426" s="426"/>
      <c r="BR426" s="426"/>
      <c r="BS426" s="100">
        <f t="shared" si="17"/>
        <v>750</v>
      </c>
      <c r="BT426" s="100">
        <f t="shared" si="17"/>
        <v>300</v>
      </c>
      <c r="BU426" s="100">
        <f t="shared" si="16"/>
        <v>0</v>
      </c>
      <c r="BV426" s="100">
        <f t="shared" si="16"/>
        <v>0</v>
      </c>
      <c r="BW426" s="100">
        <f t="shared" si="16"/>
        <v>0</v>
      </c>
    </row>
    <row r="427" spans="1:75" ht="14.7" customHeight="1" outlineLevel="1" x14ac:dyDescent="0.3">
      <c r="A427" s="467" t="str">
        <f t="shared" si="13"/>
        <v>Infinitum NegocioNo Residencial</v>
      </c>
      <c r="B427" s="425">
        <f t="shared" si="14"/>
        <v>37</v>
      </c>
      <c r="C427" s="95" t="s">
        <v>197</v>
      </c>
      <c r="D427" s="429" t="s">
        <v>351</v>
      </c>
      <c r="E427" s="429" t="s">
        <v>791</v>
      </c>
      <c r="F427" s="91">
        <v>349</v>
      </c>
      <c r="G427" s="486">
        <v>404.84</v>
      </c>
      <c r="H427" s="91"/>
      <c r="I427" s="91"/>
      <c r="J427" s="91"/>
      <c r="K427" s="91"/>
      <c r="L427" s="91"/>
      <c r="M427" s="91"/>
      <c r="N427" s="91"/>
      <c r="O427" s="91" t="s">
        <v>934</v>
      </c>
      <c r="P427" s="91" t="s">
        <v>953</v>
      </c>
      <c r="Q427" s="457" t="s">
        <v>792</v>
      </c>
      <c r="R427" s="91"/>
      <c r="S427" s="91"/>
      <c r="T427" s="91"/>
      <c r="U427" s="91" t="s">
        <v>792</v>
      </c>
      <c r="V427" s="91"/>
      <c r="W427" s="91"/>
      <c r="X427" s="91" t="s">
        <v>792</v>
      </c>
      <c r="Y427" s="91"/>
      <c r="Z427" s="91"/>
      <c r="AA427" s="91" t="s">
        <v>792</v>
      </c>
      <c r="AB427" s="91"/>
      <c r="AC427" s="91"/>
      <c r="AD427" s="91" t="s">
        <v>792</v>
      </c>
      <c r="AE427" s="91"/>
      <c r="AF427" s="91"/>
      <c r="AG427" s="91" t="s">
        <v>922</v>
      </c>
      <c r="AH427" s="91"/>
      <c r="AI427" s="91"/>
      <c r="AJ427" s="91"/>
      <c r="AK427" s="91"/>
      <c r="AL427" s="91"/>
      <c r="AM427" s="91"/>
      <c r="AN427" s="91"/>
      <c r="AO427" s="91"/>
      <c r="AP427" s="91"/>
      <c r="AQ427" s="91"/>
      <c r="AR427" s="91"/>
      <c r="AS427" s="91"/>
      <c r="AT427" s="91"/>
      <c r="AU427" s="91"/>
      <c r="AV427" s="91"/>
      <c r="AW427" s="91"/>
      <c r="AX427" s="91"/>
      <c r="AY427" s="91"/>
      <c r="AZ427" s="91"/>
      <c r="BA427" s="91" t="s">
        <v>792</v>
      </c>
      <c r="BB427" s="426"/>
      <c r="BC427" s="426"/>
      <c r="BD427" s="91" t="s">
        <v>792</v>
      </c>
      <c r="BE427" s="91" t="s">
        <v>927</v>
      </c>
      <c r="BF427" s="426">
        <v>0</v>
      </c>
      <c r="BG427" s="426">
        <v>0</v>
      </c>
      <c r="BH427" s="426">
        <v>0</v>
      </c>
      <c r="BI427" s="426">
        <v>0</v>
      </c>
      <c r="BJ427" s="426">
        <v>0</v>
      </c>
      <c r="BK427" s="426" t="s">
        <v>792</v>
      </c>
      <c r="BL427" s="91" t="s">
        <v>792</v>
      </c>
      <c r="BM427" s="426"/>
      <c r="BN427" s="426"/>
      <c r="BO427" s="91" t="s">
        <v>792</v>
      </c>
      <c r="BP427" s="426"/>
      <c r="BQ427" s="426"/>
      <c r="BR427" s="426"/>
      <c r="BS427" s="100">
        <f t="shared" si="17"/>
        <v>30</v>
      </c>
      <c r="BT427" s="100">
        <f t="shared" si="17"/>
        <v>0.76800000000000002</v>
      </c>
      <c r="BU427" s="100">
        <f t="shared" si="16"/>
        <v>0</v>
      </c>
      <c r="BV427" s="100">
        <f t="shared" si="16"/>
        <v>0</v>
      </c>
      <c r="BW427" s="100">
        <f t="shared" si="16"/>
        <v>0</v>
      </c>
    </row>
    <row r="428" spans="1:75" ht="14.7" customHeight="1" outlineLevel="1" x14ac:dyDescent="0.3">
      <c r="A428" s="467" t="str">
        <f t="shared" si="13"/>
        <v>Infinitum Negocio RedNo Residencial</v>
      </c>
      <c r="B428" s="425">
        <f t="shared" si="14"/>
        <v>38</v>
      </c>
      <c r="C428" s="95" t="s">
        <v>199</v>
      </c>
      <c r="D428" s="429" t="s">
        <v>351</v>
      </c>
      <c r="E428" s="429" t="s">
        <v>791</v>
      </c>
      <c r="F428" s="91">
        <v>608.69000000000005</v>
      </c>
      <c r="G428" s="486">
        <v>706.08</v>
      </c>
      <c r="H428" s="91"/>
      <c r="I428" s="91"/>
      <c r="J428" s="91"/>
      <c r="K428" s="91"/>
      <c r="L428" s="91"/>
      <c r="M428" s="91"/>
      <c r="N428" s="91"/>
      <c r="O428" s="91" t="s">
        <v>919</v>
      </c>
      <c r="P428" s="91" t="s">
        <v>953</v>
      </c>
      <c r="Q428" s="457" t="s">
        <v>792</v>
      </c>
      <c r="R428" s="91"/>
      <c r="S428" s="91"/>
      <c r="T428" s="91"/>
      <c r="U428" s="91" t="s">
        <v>792</v>
      </c>
      <c r="V428" s="91"/>
      <c r="W428" s="91"/>
      <c r="X428" s="91" t="s">
        <v>792</v>
      </c>
      <c r="Y428" s="91"/>
      <c r="Z428" s="91"/>
      <c r="AA428" s="91" t="s">
        <v>792</v>
      </c>
      <c r="AB428" s="91"/>
      <c r="AC428" s="91"/>
      <c r="AD428" s="91" t="s">
        <v>792</v>
      </c>
      <c r="AE428" s="91"/>
      <c r="AF428" s="91"/>
      <c r="AG428" s="91" t="s">
        <v>922</v>
      </c>
      <c r="AH428" s="91"/>
      <c r="AI428" s="91"/>
      <c r="AJ428" s="91"/>
      <c r="AK428" s="91"/>
      <c r="AL428" s="91"/>
      <c r="AM428" s="91"/>
      <c r="AN428" s="91"/>
      <c r="AO428" s="91"/>
      <c r="AP428" s="91"/>
      <c r="AQ428" s="91"/>
      <c r="AR428" s="91"/>
      <c r="AS428" s="91"/>
      <c r="AT428" s="91"/>
      <c r="AU428" s="91"/>
      <c r="AV428" s="91"/>
      <c r="AW428" s="91"/>
      <c r="AX428" s="91"/>
      <c r="AY428" s="91"/>
      <c r="AZ428" s="91"/>
      <c r="BA428" s="91" t="s">
        <v>792</v>
      </c>
      <c r="BB428" s="426"/>
      <c r="BC428" s="426"/>
      <c r="BD428" s="91" t="s">
        <v>792</v>
      </c>
      <c r="BE428" s="91" t="s">
        <v>927</v>
      </c>
      <c r="BF428" s="426">
        <v>0</v>
      </c>
      <c r="BG428" s="426">
        <v>0</v>
      </c>
      <c r="BH428" s="426">
        <v>0</v>
      </c>
      <c r="BI428" s="426">
        <v>0</v>
      </c>
      <c r="BJ428" s="426">
        <v>0</v>
      </c>
      <c r="BK428" s="426" t="s">
        <v>792</v>
      </c>
      <c r="BL428" s="91" t="s">
        <v>792</v>
      </c>
      <c r="BM428" s="426"/>
      <c r="BN428" s="426"/>
      <c r="BO428" s="91" t="s">
        <v>792</v>
      </c>
      <c r="BP428" s="426"/>
      <c r="BQ428" s="426"/>
      <c r="BR428" s="426"/>
      <c r="BS428" s="100">
        <f t="shared" si="17"/>
        <v>50</v>
      </c>
      <c r="BT428" s="100">
        <f t="shared" si="17"/>
        <v>0.76800000000000002</v>
      </c>
      <c r="BU428" s="100">
        <f t="shared" si="16"/>
        <v>0</v>
      </c>
      <c r="BV428" s="100">
        <f t="shared" si="16"/>
        <v>0</v>
      </c>
      <c r="BW428" s="100">
        <f t="shared" si="16"/>
        <v>0</v>
      </c>
    </row>
    <row r="429" spans="1:75" ht="14.7" customHeight="1" outlineLevel="1" x14ac:dyDescent="0.3">
      <c r="A429" s="467" t="str">
        <f t="shared" si="13"/>
        <v>Infinitum Negocio PremiumNo Residencial</v>
      </c>
      <c r="B429" s="425">
        <f t="shared" si="14"/>
        <v>39</v>
      </c>
      <c r="C429" s="95" t="s">
        <v>201</v>
      </c>
      <c r="D429" s="429" t="s">
        <v>351</v>
      </c>
      <c r="E429" s="429" t="s">
        <v>791</v>
      </c>
      <c r="F429" s="91">
        <v>1042.5999999999999</v>
      </c>
      <c r="G429" s="486">
        <v>1209.42</v>
      </c>
      <c r="H429" s="91"/>
      <c r="I429" s="91"/>
      <c r="J429" s="91"/>
      <c r="K429" s="91"/>
      <c r="L429" s="91"/>
      <c r="M429" s="91"/>
      <c r="N429" s="91"/>
      <c r="O429" s="91" t="s">
        <v>930</v>
      </c>
      <c r="P429" s="91" t="s">
        <v>953</v>
      </c>
      <c r="Q429" s="457" t="s">
        <v>792</v>
      </c>
      <c r="R429" s="91"/>
      <c r="S429" s="91"/>
      <c r="T429" s="91"/>
      <c r="U429" s="91" t="s">
        <v>792</v>
      </c>
      <c r="V429" s="91"/>
      <c r="W429" s="91"/>
      <c r="X429" s="91" t="s">
        <v>792</v>
      </c>
      <c r="Y429" s="91"/>
      <c r="Z429" s="91"/>
      <c r="AA429" s="91" t="s">
        <v>792</v>
      </c>
      <c r="AB429" s="91"/>
      <c r="AC429" s="91"/>
      <c r="AD429" s="91" t="s">
        <v>792</v>
      </c>
      <c r="AE429" s="91"/>
      <c r="AF429" s="91"/>
      <c r="AG429" s="91" t="s">
        <v>922</v>
      </c>
      <c r="AH429" s="91"/>
      <c r="AI429" s="91"/>
      <c r="AJ429" s="91"/>
      <c r="AK429" s="91"/>
      <c r="AL429" s="91"/>
      <c r="AM429" s="91"/>
      <c r="AN429" s="91"/>
      <c r="AO429" s="91"/>
      <c r="AP429" s="91"/>
      <c r="AQ429" s="91"/>
      <c r="AR429" s="91"/>
      <c r="AS429" s="91"/>
      <c r="AT429" s="91"/>
      <c r="AU429" s="91"/>
      <c r="AV429" s="91"/>
      <c r="AW429" s="91"/>
      <c r="AX429" s="91"/>
      <c r="AY429" s="91"/>
      <c r="AZ429" s="91"/>
      <c r="BA429" s="91" t="s">
        <v>792</v>
      </c>
      <c r="BB429" s="426"/>
      <c r="BC429" s="426"/>
      <c r="BD429" s="91" t="s">
        <v>792</v>
      </c>
      <c r="BE429" s="91" t="s">
        <v>927</v>
      </c>
      <c r="BF429" s="426">
        <v>0</v>
      </c>
      <c r="BG429" s="426">
        <v>0</v>
      </c>
      <c r="BH429" s="426">
        <v>0</v>
      </c>
      <c r="BI429" s="426">
        <v>0</v>
      </c>
      <c r="BJ429" s="426">
        <v>0</v>
      </c>
      <c r="BK429" s="426" t="s">
        <v>792</v>
      </c>
      <c r="BL429" s="91" t="s">
        <v>792</v>
      </c>
      <c r="BM429" s="426"/>
      <c r="BN429" s="426"/>
      <c r="BO429" s="91" t="s">
        <v>792</v>
      </c>
      <c r="BP429" s="426"/>
      <c r="BQ429" s="426"/>
      <c r="BR429" s="426"/>
      <c r="BS429" s="100">
        <f t="shared" si="17"/>
        <v>100</v>
      </c>
      <c r="BT429" s="100">
        <f t="shared" si="17"/>
        <v>0.76800000000000002</v>
      </c>
      <c r="BU429" s="100">
        <f t="shared" si="16"/>
        <v>0</v>
      </c>
      <c r="BV429" s="100">
        <f t="shared" si="16"/>
        <v>0</v>
      </c>
      <c r="BW429" s="100">
        <f t="shared" si="16"/>
        <v>0</v>
      </c>
    </row>
    <row r="430" spans="1:75" ht="14.7" customHeight="1" outlineLevel="1" x14ac:dyDescent="0.3">
      <c r="A430" s="467" t="str">
        <f t="shared" si="13"/>
        <v>Velocidad Simétrica Telmex Negocio Ilimitado 1No Residencial</v>
      </c>
      <c r="B430" s="425">
        <f t="shared" si="14"/>
        <v>40</v>
      </c>
      <c r="C430" s="95" t="s">
        <v>500</v>
      </c>
      <c r="D430" s="429" t="s">
        <v>351</v>
      </c>
      <c r="E430" s="429" t="s">
        <v>794</v>
      </c>
      <c r="F430" s="91">
        <v>1610.49</v>
      </c>
      <c r="G430" s="486">
        <v>1899.0028</v>
      </c>
      <c r="H430" s="91">
        <v>2</v>
      </c>
      <c r="I430" s="91" t="s">
        <v>941</v>
      </c>
      <c r="J430" s="91" t="s">
        <v>941</v>
      </c>
      <c r="K430" s="91" t="s">
        <v>942</v>
      </c>
      <c r="L430" s="91" t="s">
        <v>942</v>
      </c>
      <c r="M430" s="91">
        <v>5</v>
      </c>
      <c r="N430" s="91" t="s">
        <v>943</v>
      </c>
      <c r="O430" s="91" t="s">
        <v>961</v>
      </c>
      <c r="P430" s="91" t="s">
        <v>961</v>
      </c>
      <c r="Q430" s="457" t="s">
        <v>792</v>
      </c>
      <c r="R430" s="91"/>
      <c r="S430" s="91"/>
      <c r="T430" s="91"/>
      <c r="U430" s="91" t="s">
        <v>792</v>
      </c>
      <c r="V430" s="91"/>
      <c r="W430" s="91"/>
      <c r="X430" s="91" t="s">
        <v>792</v>
      </c>
      <c r="Y430" s="91"/>
      <c r="Z430" s="91"/>
      <c r="AA430" s="91" t="s">
        <v>792</v>
      </c>
      <c r="AB430" s="91"/>
      <c r="AC430" s="91"/>
      <c r="AD430" s="91" t="s">
        <v>792</v>
      </c>
      <c r="AE430" s="91"/>
      <c r="AF430" s="91"/>
      <c r="AG430" s="91" t="s">
        <v>922</v>
      </c>
      <c r="AH430" s="91"/>
      <c r="AI430" s="91"/>
      <c r="AJ430" s="91" t="s">
        <v>1052</v>
      </c>
      <c r="AK430" s="91"/>
      <c r="AL430" s="91" t="s">
        <v>937</v>
      </c>
      <c r="AM430" s="91"/>
      <c r="AN430" s="91" t="s">
        <v>938</v>
      </c>
      <c r="AO430" s="91" t="s">
        <v>945</v>
      </c>
      <c r="AP430" s="91" t="s">
        <v>946</v>
      </c>
      <c r="AQ430" s="91"/>
      <c r="AR430" s="91" t="s">
        <v>952</v>
      </c>
      <c r="AS430" s="91" t="s">
        <v>951</v>
      </c>
      <c r="AT430" s="91" t="s">
        <v>949</v>
      </c>
      <c r="AU430" s="91" t="s">
        <v>926</v>
      </c>
      <c r="AV430" s="91"/>
      <c r="AW430" s="91"/>
      <c r="AX430" s="91"/>
      <c r="AY430" s="91"/>
      <c r="AZ430" s="91"/>
      <c r="BA430" s="91" t="s">
        <v>792</v>
      </c>
      <c r="BB430" s="426"/>
      <c r="BC430" s="426"/>
      <c r="BD430" s="91" t="s">
        <v>792</v>
      </c>
      <c r="BE430" s="91" t="s">
        <v>927</v>
      </c>
      <c r="BF430" s="426">
        <v>0</v>
      </c>
      <c r="BG430" s="426">
        <v>0</v>
      </c>
      <c r="BH430" s="426">
        <v>0</v>
      </c>
      <c r="BI430" s="426">
        <v>0</v>
      </c>
      <c r="BJ430" s="426">
        <v>0</v>
      </c>
      <c r="BK430" s="426" t="s">
        <v>792</v>
      </c>
      <c r="BL430" s="91" t="s">
        <v>792</v>
      </c>
      <c r="BM430" s="426"/>
      <c r="BN430" s="426"/>
      <c r="BO430" s="91" t="s">
        <v>792</v>
      </c>
      <c r="BP430" s="426"/>
      <c r="BQ430" s="426"/>
      <c r="BR430" s="426"/>
      <c r="BS430" s="100">
        <f t="shared" si="17"/>
        <v>750</v>
      </c>
      <c r="BT430" s="100">
        <f t="shared" si="17"/>
        <v>750</v>
      </c>
      <c r="BU430" s="100">
        <f t="shared" si="16"/>
        <v>0</v>
      </c>
      <c r="BV430" s="100">
        <f t="shared" si="16"/>
        <v>0</v>
      </c>
      <c r="BW430" s="100">
        <f t="shared" si="16"/>
        <v>0</v>
      </c>
    </row>
    <row r="431" spans="1:75" ht="14.7" customHeight="1" outlineLevel="1" x14ac:dyDescent="0.3">
      <c r="A431" s="467" t="str">
        <f t="shared" si="13"/>
        <v>Velocidad Simétrica Telmex Negocio Ilimitado 2No Residencial</v>
      </c>
      <c r="B431" s="425">
        <f t="shared" si="14"/>
        <v>41</v>
      </c>
      <c r="C431" s="95" t="s">
        <v>502</v>
      </c>
      <c r="D431" s="429" t="s">
        <v>351</v>
      </c>
      <c r="E431" s="429" t="s">
        <v>794</v>
      </c>
      <c r="F431" s="91">
        <v>1898.45</v>
      </c>
      <c r="G431" s="486">
        <v>2238.9987999999998</v>
      </c>
      <c r="H431" s="91">
        <v>4</v>
      </c>
      <c r="I431" s="91" t="s">
        <v>941</v>
      </c>
      <c r="J431" s="91" t="s">
        <v>941</v>
      </c>
      <c r="K431" s="91" t="s">
        <v>942</v>
      </c>
      <c r="L431" s="91" t="s">
        <v>942</v>
      </c>
      <c r="M431" s="91">
        <v>5</v>
      </c>
      <c r="N431" s="91" t="s">
        <v>943</v>
      </c>
      <c r="O431" s="91" t="s">
        <v>961</v>
      </c>
      <c r="P431" s="91" t="s">
        <v>961</v>
      </c>
      <c r="Q431" s="457" t="s">
        <v>792</v>
      </c>
      <c r="R431" s="91"/>
      <c r="S431" s="91"/>
      <c r="T431" s="91"/>
      <c r="U431" s="91" t="s">
        <v>792</v>
      </c>
      <c r="V431" s="91"/>
      <c r="W431" s="91"/>
      <c r="X431" s="91" t="s">
        <v>792</v>
      </c>
      <c r="Y431" s="91"/>
      <c r="Z431" s="91"/>
      <c r="AA431" s="91" t="s">
        <v>792</v>
      </c>
      <c r="AB431" s="91"/>
      <c r="AC431" s="91"/>
      <c r="AD431" s="91" t="s">
        <v>792</v>
      </c>
      <c r="AE431" s="91"/>
      <c r="AF431" s="91"/>
      <c r="AG431" s="91" t="s">
        <v>922</v>
      </c>
      <c r="AH431" s="91"/>
      <c r="AI431" s="91"/>
      <c r="AJ431" s="91" t="s">
        <v>1052</v>
      </c>
      <c r="AK431" s="91"/>
      <c r="AL431" s="91" t="s">
        <v>937</v>
      </c>
      <c r="AM431" s="91"/>
      <c r="AN431" s="91" t="s">
        <v>938</v>
      </c>
      <c r="AO431" s="91" t="s">
        <v>945</v>
      </c>
      <c r="AP431" s="91" t="s">
        <v>946</v>
      </c>
      <c r="AQ431" s="91"/>
      <c r="AR431" s="91" t="s">
        <v>952</v>
      </c>
      <c r="AS431" s="91" t="s">
        <v>951</v>
      </c>
      <c r="AT431" s="91" t="s">
        <v>949</v>
      </c>
      <c r="AU431" s="91" t="s">
        <v>926</v>
      </c>
      <c r="AV431" s="91"/>
      <c r="AW431" s="91"/>
      <c r="AX431" s="91"/>
      <c r="AY431" s="91"/>
      <c r="AZ431" s="91"/>
      <c r="BA431" s="91" t="s">
        <v>792</v>
      </c>
      <c r="BB431" s="426"/>
      <c r="BC431" s="426"/>
      <c r="BD431" s="91" t="s">
        <v>792</v>
      </c>
      <c r="BE431" s="91" t="s">
        <v>927</v>
      </c>
      <c r="BF431" s="426">
        <v>0</v>
      </c>
      <c r="BG431" s="426">
        <v>0</v>
      </c>
      <c r="BH431" s="426">
        <v>0</v>
      </c>
      <c r="BI431" s="426">
        <v>0</v>
      </c>
      <c r="BJ431" s="426">
        <v>0</v>
      </c>
      <c r="BK431" s="426" t="s">
        <v>792</v>
      </c>
      <c r="BL431" s="91" t="s">
        <v>792</v>
      </c>
      <c r="BM431" s="426"/>
      <c r="BN431" s="426"/>
      <c r="BO431" s="91" t="s">
        <v>792</v>
      </c>
      <c r="BP431" s="426"/>
      <c r="BQ431" s="426"/>
      <c r="BR431" s="426"/>
      <c r="BS431" s="100">
        <f t="shared" si="17"/>
        <v>750</v>
      </c>
      <c r="BT431" s="100">
        <f t="shared" si="17"/>
        <v>750</v>
      </c>
      <c r="BU431" s="100">
        <f t="shared" si="16"/>
        <v>0</v>
      </c>
      <c r="BV431" s="100">
        <f t="shared" si="16"/>
        <v>0</v>
      </c>
      <c r="BW431" s="100">
        <f t="shared" si="16"/>
        <v>0</v>
      </c>
    </row>
    <row r="432" spans="1:75" ht="14.7" customHeight="1" outlineLevel="1" x14ac:dyDescent="0.3">
      <c r="A432" s="467" t="str">
        <f t="shared" si="13"/>
        <v>Velocidad Simétrica Telmex Negocio limitado 3No Residencial</v>
      </c>
      <c r="B432" s="425">
        <f t="shared" si="14"/>
        <v>42</v>
      </c>
      <c r="C432" s="95" t="s">
        <v>504</v>
      </c>
      <c r="D432" s="429" t="s">
        <v>351</v>
      </c>
      <c r="E432" s="429" t="s">
        <v>794</v>
      </c>
      <c r="F432" s="91">
        <v>2363.7200000000003</v>
      </c>
      <c r="G432" s="486">
        <v>2789.0047999999997</v>
      </c>
      <c r="H432" s="91">
        <v>6</v>
      </c>
      <c r="I432" s="91" t="s">
        <v>941</v>
      </c>
      <c r="J432" s="91" t="s">
        <v>941</v>
      </c>
      <c r="K432" s="91" t="s">
        <v>942</v>
      </c>
      <c r="L432" s="91" t="s">
        <v>942</v>
      </c>
      <c r="M432" s="91">
        <v>5</v>
      </c>
      <c r="N432" s="91" t="s">
        <v>943</v>
      </c>
      <c r="O432" s="91" t="s">
        <v>950</v>
      </c>
      <c r="P432" s="91" t="s">
        <v>950</v>
      </c>
      <c r="Q432" s="457" t="s">
        <v>792</v>
      </c>
      <c r="R432" s="91"/>
      <c r="S432" s="91"/>
      <c r="T432" s="91"/>
      <c r="U432" s="91" t="s">
        <v>792</v>
      </c>
      <c r="V432" s="91"/>
      <c r="W432" s="91"/>
      <c r="X432" s="91" t="s">
        <v>792</v>
      </c>
      <c r="Y432" s="91"/>
      <c r="Z432" s="91"/>
      <c r="AA432" s="91" t="s">
        <v>792</v>
      </c>
      <c r="AB432" s="91"/>
      <c r="AC432" s="91"/>
      <c r="AD432" s="91" t="s">
        <v>792</v>
      </c>
      <c r="AE432" s="91"/>
      <c r="AF432" s="91"/>
      <c r="AG432" s="91" t="s">
        <v>922</v>
      </c>
      <c r="AH432" s="91"/>
      <c r="AI432" s="91"/>
      <c r="AJ432" s="91" t="s">
        <v>1052</v>
      </c>
      <c r="AK432" s="91"/>
      <c r="AL432" s="91" t="s">
        <v>937</v>
      </c>
      <c r="AM432" s="91"/>
      <c r="AN432" s="91" t="s">
        <v>938</v>
      </c>
      <c r="AO432" s="91" t="s">
        <v>945</v>
      </c>
      <c r="AP432" s="91" t="s">
        <v>946</v>
      </c>
      <c r="AQ432" s="91"/>
      <c r="AR432" s="91" t="s">
        <v>952</v>
      </c>
      <c r="AS432" s="91" t="s">
        <v>951</v>
      </c>
      <c r="AT432" s="91" t="s">
        <v>949</v>
      </c>
      <c r="AU432" s="91" t="s">
        <v>926</v>
      </c>
      <c r="AV432" s="91"/>
      <c r="AW432" s="91"/>
      <c r="AX432" s="91"/>
      <c r="AY432" s="91"/>
      <c r="AZ432" s="91"/>
      <c r="BA432" s="91" t="s">
        <v>792</v>
      </c>
      <c r="BB432" s="426"/>
      <c r="BC432" s="426"/>
      <c r="BD432" s="91" t="s">
        <v>792</v>
      </c>
      <c r="BE432" s="91" t="s">
        <v>927</v>
      </c>
      <c r="BF432" s="426">
        <v>0</v>
      </c>
      <c r="BG432" s="426">
        <v>0</v>
      </c>
      <c r="BH432" s="426">
        <v>0</v>
      </c>
      <c r="BI432" s="426">
        <v>0</v>
      </c>
      <c r="BJ432" s="426">
        <v>0</v>
      </c>
      <c r="BK432" s="426" t="s">
        <v>792</v>
      </c>
      <c r="BL432" s="91" t="s">
        <v>792</v>
      </c>
      <c r="BM432" s="426"/>
      <c r="BN432" s="426"/>
      <c r="BO432" s="91" t="s">
        <v>792</v>
      </c>
      <c r="BP432" s="426"/>
      <c r="BQ432" s="426"/>
      <c r="BR432" s="426"/>
      <c r="BS432" s="100">
        <f t="shared" si="17"/>
        <v>1000</v>
      </c>
      <c r="BT432" s="100">
        <f t="shared" si="17"/>
        <v>1000</v>
      </c>
      <c r="BU432" s="100">
        <f t="shared" si="16"/>
        <v>0</v>
      </c>
      <c r="BV432" s="100">
        <f t="shared" si="16"/>
        <v>0</v>
      </c>
      <c r="BW432" s="100">
        <f t="shared" si="16"/>
        <v>0</v>
      </c>
    </row>
    <row r="433" spans="1:75" ht="14.7" hidden="1" customHeight="1" outlineLevel="1" x14ac:dyDescent="0.3">
      <c r="A433" s="467"/>
      <c r="B433" s="425">
        <f t="shared" si="14"/>
        <v>43</v>
      </c>
      <c r="C433" s="95" t="s">
        <v>456</v>
      </c>
      <c r="D433" s="429" t="s">
        <v>796</v>
      </c>
      <c r="E433" s="429" t="s">
        <v>797</v>
      </c>
      <c r="F433" s="91"/>
      <c r="G433" s="91"/>
      <c r="H433" s="91"/>
      <c r="I433" s="91"/>
      <c r="J433" s="91"/>
      <c r="K433" s="91"/>
      <c r="L433" s="91"/>
      <c r="M433" s="91"/>
      <c r="N433" s="91"/>
      <c r="O433" s="91"/>
      <c r="P433" s="91"/>
      <c r="Q433" s="457" t="s">
        <v>792</v>
      </c>
      <c r="R433" s="91"/>
      <c r="S433" s="91"/>
      <c r="T433" s="91"/>
      <c r="U433" s="91"/>
      <c r="V433" s="91"/>
      <c r="W433" s="91"/>
      <c r="X433" s="91" t="s">
        <v>927</v>
      </c>
      <c r="Y433" s="91"/>
      <c r="Z433" s="91"/>
      <c r="AA433" s="91"/>
      <c r="AB433" s="91"/>
      <c r="AC433" s="91"/>
      <c r="AD433" s="91"/>
      <c r="AE433" s="91"/>
      <c r="AF433" s="91"/>
      <c r="AG433" s="91"/>
      <c r="AH433" s="91"/>
      <c r="AI433" s="91"/>
      <c r="AJ433" s="91"/>
      <c r="AK433" s="91"/>
      <c r="AL433" s="91"/>
      <c r="AM433" s="91"/>
      <c r="AN433" s="91"/>
      <c r="AO433" s="91"/>
      <c r="AP433" s="91"/>
      <c r="AQ433" s="91"/>
      <c r="AR433" s="91"/>
      <c r="AS433" s="91"/>
      <c r="AT433" s="91"/>
      <c r="AU433" s="91"/>
      <c r="AV433" s="91"/>
      <c r="AW433" s="91"/>
      <c r="AX433" s="91"/>
      <c r="AY433" s="91"/>
      <c r="AZ433" s="91"/>
      <c r="BA433" s="91" t="s">
        <v>792</v>
      </c>
      <c r="BB433" s="426"/>
      <c r="BC433" s="426"/>
      <c r="BD433" s="91" t="s">
        <v>792</v>
      </c>
      <c r="BE433" s="91" t="s">
        <v>927</v>
      </c>
      <c r="BF433" s="426"/>
      <c r="BG433" s="426"/>
      <c r="BH433" s="426"/>
      <c r="BI433" s="426"/>
      <c r="BJ433" s="426"/>
      <c r="BK433" s="426"/>
      <c r="BL433" s="91" t="s">
        <v>792</v>
      </c>
      <c r="BM433" s="426"/>
      <c r="BN433" s="426"/>
      <c r="BO433" s="91" t="s">
        <v>792</v>
      </c>
      <c r="BP433" s="426"/>
      <c r="BQ433" s="426"/>
      <c r="BR433" s="426"/>
      <c r="BT433" s="100" t="e">
        <f t="shared" ref="BT433:BT467" si="18">LEFT(P433,FIND(" ",P433))*1</f>
        <v>#VALUE!</v>
      </c>
      <c r="BW433" s="100">
        <f t="shared" ref="BW433:BW467" si="19">T433</f>
        <v>0</v>
      </c>
    </row>
    <row r="434" spans="1:75" ht="14.7" hidden="1" customHeight="1" outlineLevel="1" x14ac:dyDescent="0.3">
      <c r="B434" s="425">
        <f t="shared" si="14"/>
        <v>44</v>
      </c>
      <c r="C434" s="95" t="s">
        <v>456</v>
      </c>
      <c r="D434" s="429" t="s">
        <v>796</v>
      </c>
      <c r="E434" s="429" t="s">
        <v>797</v>
      </c>
      <c r="F434" s="91"/>
      <c r="G434" s="91"/>
      <c r="H434" s="91"/>
      <c r="I434" s="91"/>
      <c r="J434" s="91"/>
      <c r="K434" s="91"/>
      <c r="L434" s="91"/>
      <c r="M434" s="91"/>
      <c r="N434" s="91"/>
      <c r="O434" s="91"/>
      <c r="P434" s="91"/>
      <c r="Q434" s="457" t="s">
        <v>792</v>
      </c>
      <c r="R434" s="91"/>
      <c r="S434" s="91"/>
      <c r="T434" s="91"/>
      <c r="U434" s="91"/>
      <c r="V434" s="91"/>
      <c r="W434" s="91"/>
      <c r="X434" s="91" t="s">
        <v>927</v>
      </c>
      <c r="Y434" s="91"/>
      <c r="Z434" s="91"/>
      <c r="AA434" s="91"/>
      <c r="AB434" s="91"/>
      <c r="AC434" s="91"/>
      <c r="AD434" s="91"/>
      <c r="AE434" s="91"/>
      <c r="AF434" s="91"/>
      <c r="AG434" s="91"/>
      <c r="AH434" s="91"/>
      <c r="AI434" s="91"/>
      <c r="AJ434" s="91"/>
      <c r="AK434" s="91"/>
      <c r="AL434" s="91"/>
      <c r="AM434" s="91"/>
      <c r="AN434" s="91"/>
      <c r="AO434" s="91"/>
      <c r="AP434" s="91"/>
      <c r="AQ434" s="91"/>
      <c r="AR434" s="91"/>
      <c r="AS434" s="91"/>
      <c r="AT434" s="91"/>
      <c r="AU434" s="91"/>
      <c r="AV434" s="91"/>
      <c r="AW434" s="91"/>
      <c r="AX434" s="91"/>
      <c r="AY434" s="91"/>
      <c r="AZ434" s="91"/>
      <c r="BA434" s="91" t="s">
        <v>792</v>
      </c>
      <c r="BB434" s="426"/>
      <c r="BC434" s="426"/>
      <c r="BD434" s="91" t="s">
        <v>792</v>
      </c>
      <c r="BE434" s="91" t="s">
        <v>927</v>
      </c>
      <c r="BF434" s="426"/>
      <c r="BG434" s="426"/>
      <c r="BH434" s="426"/>
      <c r="BI434" s="426"/>
      <c r="BJ434" s="426"/>
      <c r="BK434" s="426"/>
      <c r="BL434" s="91" t="s">
        <v>792</v>
      </c>
      <c r="BM434" s="426"/>
      <c r="BN434" s="426"/>
      <c r="BO434" s="91" t="s">
        <v>792</v>
      </c>
      <c r="BP434" s="426"/>
      <c r="BQ434" s="426"/>
      <c r="BR434" s="426"/>
      <c r="BT434" s="100" t="e">
        <f t="shared" si="18"/>
        <v>#VALUE!</v>
      </c>
      <c r="BW434" s="100">
        <f t="shared" si="19"/>
        <v>0</v>
      </c>
    </row>
    <row r="435" spans="1:75" ht="14.7" hidden="1" customHeight="1" outlineLevel="1" x14ac:dyDescent="0.3">
      <c r="B435" s="425">
        <f t="shared" si="14"/>
        <v>45</v>
      </c>
      <c r="C435" s="95" t="s">
        <v>456</v>
      </c>
      <c r="D435" s="429" t="s">
        <v>796</v>
      </c>
      <c r="E435" s="429" t="s">
        <v>797</v>
      </c>
      <c r="F435" s="91"/>
      <c r="G435" s="91"/>
      <c r="H435" s="91"/>
      <c r="I435" s="91"/>
      <c r="J435" s="91"/>
      <c r="K435" s="91"/>
      <c r="L435" s="91"/>
      <c r="M435" s="91"/>
      <c r="N435" s="91"/>
      <c r="O435" s="91"/>
      <c r="P435" s="91"/>
      <c r="Q435" s="457" t="s">
        <v>792</v>
      </c>
      <c r="R435" s="91"/>
      <c r="S435" s="91"/>
      <c r="T435" s="91"/>
      <c r="U435" s="91"/>
      <c r="V435" s="91"/>
      <c r="W435" s="91"/>
      <c r="X435" s="91" t="s">
        <v>927</v>
      </c>
      <c r="Y435" s="91"/>
      <c r="Z435" s="91"/>
      <c r="AA435" s="91"/>
      <c r="AB435" s="91"/>
      <c r="AC435" s="91"/>
      <c r="AD435" s="91"/>
      <c r="AE435" s="91"/>
      <c r="AF435" s="91"/>
      <c r="AG435" s="91"/>
      <c r="AH435" s="91"/>
      <c r="AI435" s="91"/>
      <c r="AJ435" s="91"/>
      <c r="AK435" s="91"/>
      <c r="AL435" s="91"/>
      <c r="AM435" s="91"/>
      <c r="AN435" s="91"/>
      <c r="AO435" s="91"/>
      <c r="AP435" s="91"/>
      <c r="AQ435" s="91"/>
      <c r="AR435" s="91"/>
      <c r="AS435" s="91"/>
      <c r="AT435" s="91"/>
      <c r="AU435" s="91"/>
      <c r="AV435" s="91"/>
      <c r="AW435" s="91"/>
      <c r="AX435" s="91"/>
      <c r="AY435" s="91"/>
      <c r="AZ435" s="91"/>
      <c r="BA435" s="91" t="s">
        <v>792</v>
      </c>
      <c r="BB435" s="426"/>
      <c r="BC435" s="426"/>
      <c r="BD435" s="91" t="s">
        <v>792</v>
      </c>
      <c r="BE435" s="91" t="s">
        <v>927</v>
      </c>
      <c r="BF435" s="426"/>
      <c r="BG435" s="426"/>
      <c r="BH435" s="426"/>
      <c r="BI435" s="426"/>
      <c r="BJ435" s="426"/>
      <c r="BK435" s="426"/>
      <c r="BL435" s="91" t="s">
        <v>792</v>
      </c>
      <c r="BM435" s="426"/>
      <c r="BN435" s="426"/>
      <c r="BO435" s="91" t="s">
        <v>792</v>
      </c>
      <c r="BP435" s="426"/>
      <c r="BQ435" s="426"/>
      <c r="BR435" s="426"/>
      <c r="BT435" s="100" t="e">
        <f t="shared" si="18"/>
        <v>#VALUE!</v>
      </c>
      <c r="BW435" s="100">
        <f t="shared" si="19"/>
        <v>0</v>
      </c>
    </row>
    <row r="436" spans="1:75" ht="14.7" hidden="1" customHeight="1" outlineLevel="1" x14ac:dyDescent="0.3">
      <c r="B436" s="425">
        <f t="shared" si="14"/>
        <v>46</v>
      </c>
      <c r="C436" s="95" t="s">
        <v>456</v>
      </c>
      <c r="D436" s="429" t="s">
        <v>796</v>
      </c>
      <c r="E436" s="429" t="s">
        <v>797</v>
      </c>
      <c r="F436" s="91"/>
      <c r="G436" s="91"/>
      <c r="H436" s="91"/>
      <c r="I436" s="91"/>
      <c r="J436" s="91"/>
      <c r="K436" s="91"/>
      <c r="L436" s="91"/>
      <c r="M436" s="91"/>
      <c r="N436" s="91"/>
      <c r="O436" s="91"/>
      <c r="P436" s="91"/>
      <c r="Q436" s="457" t="s">
        <v>792</v>
      </c>
      <c r="R436" s="91"/>
      <c r="S436" s="91"/>
      <c r="T436" s="91"/>
      <c r="U436" s="91"/>
      <c r="V436" s="91"/>
      <c r="W436" s="91"/>
      <c r="X436" s="91" t="s">
        <v>927</v>
      </c>
      <c r="Y436" s="91"/>
      <c r="Z436" s="91"/>
      <c r="AA436" s="91"/>
      <c r="AB436" s="91"/>
      <c r="AC436" s="91"/>
      <c r="AD436" s="91"/>
      <c r="AE436" s="91"/>
      <c r="AF436" s="91"/>
      <c r="AG436" s="91"/>
      <c r="AH436" s="91"/>
      <c r="AI436" s="91"/>
      <c r="AJ436" s="91"/>
      <c r="AK436" s="91"/>
      <c r="AL436" s="91"/>
      <c r="AM436" s="91"/>
      <c r="AN436" s="91"/>
      <c r="AO436" s="91"/>
      <c r="AP436" s="91"/>
      <c r="AQ436" s="91"/>
      <c r="AR436" s="91"/>
      <c r="AS436" s="91"/>
      <c r="AT436" s="91"/>
      <c r="AU436" s="91"/>
      <c r="AV436" s="91"/>
      <c r="AW436" s="91"/>
      <c r="AX436" s="91"/>
      <c r="AY436" s="91"/>
      <c r="AZ436" s="91"/>
      <c r="BA436" s="91" t="s">
        <v>792</v>
      </c>
      <c r="BB436" s="426"/>
      <c r="BC436" s="426"/>
      <c r="BD436" s="91" t="s">
        <v>792</v>
      </c>
      <c r="BE436" s="91" t="s">
        <v>927</v>
      </c>
      <c r="BF436" s="426"/>
      <c r="BG436" s="426"/>
      <c r="BH436" s="426"/>
      <c r="BI436" s="426"/>
      <c r="BJ436" s="426"/>
      <c r="BK436" s="426"/>
      <c r="BL436" s="91" t="s">
        <v>792</v>
      </c>
      <c r="BM436" s="426"/>
      <c r="BN436" s="426"/>
      <c r="BO436" s="91" t="s">
        <v>792</v>
      </c>
      <c r="BP436" s="426"/>
      <c r="BQ436" s="426"/>
      <c r="BR436" s="426"/>
      <c r="BT436" s="100" t="e">
        <f t="shared" si="18"/>
        <v>#VALUE!</v>
      </c>
      <c r="BW436" s="100">
        <f t="shared" si="19"/>
        <v>0</v>
      </c>
    </row>
    <row r="437" spans="1:75" ht="14.7" hidden="1" customHeight="1" outlineLevel="1" x14ac:dyDescent="0.3">
      <c r="B437" s="425">
        <f t="shared" si="14"/>
        <v>47</v>
      </c>
      <c r="C437" s="95" t="s">
        <v>456</v>
      </c>
      <c r="D437" s="429" t="s">
        <v>796</v>
      </c>
      <c r="E437" s="429" t="s">
        <v>797</v>
      </c>
      <c r="F437" s="91"/>
      <c r="G437" s="91"/>
      <c r="H437" s="91"/>
      <c r="I437" s="91"/>
      <c r="J437" s="91"/>
      <c r="K437" s="91"/>
      <c r="L437" s="91"/>
      <c r="M437" s="91"/>
      <c r="N437" s="91"/>
      <c r="O437" s="91"/>
      <c r="P437" s="91"/>
      <c r="Q437" s="457" t="s">
        <v>792</v>
      </c>
      <c r="R437" s="91"/>
      <c r="S437" s="91"/>
      <c r="T437" s="91"/>
      <c r="U437" s="91"/>
      <c r="V437" s="91"/>
      <c r="W437" s="91"/>
      <c r="X437" s="91" t="s">
        <v>927</v>
      </c>
      <c r="Y437" s="91"/>
      <c r="Z437" s="91"/>
      <c r="AA437" s="91"/>
      <c r="AB437" s="91"/>
      <c r="AC437" s="91"/>
      <c r="AD437" s="91"/>
      <c r="AE437" s="91"/>
      <c r="AF437" s="91"/>
      <c r="AG437" s="91"/>
      <c r="AH437" s="91"/>
      <c r="AI437" s="91"/>
      <c r="AJ437" s="91"/>
      <c r="AK437" s="91"/>
      <c r="AL437" s="91"/>
      <c r="AM437" s="91"/>
      <c r="AN437" s="91"/>
      <c r="AO437" s="91"/>
      <c r="AP437" s="91"/>
      <c r="AQ437" s="91"/>
      <c r="AR437" s="91"/>
      <c r="AS437" s="91"/>
      <c r="AT437" s="91"/>
      <c r="AU437" s="91"/>
      <c r="AV437" s="91"/>
      <c r="AW437" s="91"/>
      <c r="AX437" s="91"/>
      <c r="AY437" s="91"/>
      <c r="AZ437" s="91"/>
      <c r="BA437" s="91" t="s">
        <v>792</v>
      </c>
      <c r="BB437" s="426"/>
      <c r="BC437" s="426"/>
      <c r="BD437" s="91" t="s">
        <v>792</v>
      </c>
      <c r="BE437" s="91" t="s">
        <v>927</v>
      </c>
      <c r="BF437" s="426"/>
      <c r="BG437" s="426"/>
      <c r="BH437" s="426"/>
      <c r="BI437" s="426"/>
      <c r="BJ437" s="426"/>
      <c r="BK437" s="426"/>
      <c r="BL437" s="91" t="s">
        <v>792</v>
      </c>
      <c r="BM437" s="426"/>
      <c r="BN437" s="426"/>
      <c r="BO437" s="91" t="s">
        <v>792</v>
      </c>
      <c r="BP437" s="426"/>
      <c r="BQ437" s="426"/>
      <c r="BR437" s="426"/>
      <c r="BT437" s="100" t="e">
        <f t="shared" si="18"/>
        <v>#VALUE!</v>
      </c>
      <c r="BW437" s="100">
        <f t="shared" si="19"/>
        <v>0</v>
      </c>
    </row>
    <row r="438" spans="1:75" ht="14.7" hidden="1" customHeight="1" outlineLevel="1" x14ac:dyDescent="0.3">
      <c r="B438" s="425">
        <f t="shared" si="14"/>
        <v>48</v>
      </c>
      <c r="C438" s="95" t="s">
        <v>456</v>
      </c>
      <c r="D438" s="429" t="s">
        <v>796</v>
      </c>
      <c r="E438" s="429" t="s">
        <v>797</v>
      </c>
      <c r="F438" s="91"/>
      <c r="G438" s="91"/>
      <c r="H438" s="91"/>
      <c r="I438" s="91"/>
      <c r="J438" s="91"/>
      <c r="K438" s="91"/>
      <c r="L438" s="91"/>
      <c r="M438" s="91"/>
      <c r="N438" s="91"/>
      <c r="O438" s="91"/>
      <c r="P438" s="91"/>
      <c r="Q438" s="457" t="s">
        <v>792</v>
      </c>
      <c r="R438" s="91"/>
      <c r="S438" s="91"/>
      <c r="T438" s="91"/>
      <c r="U438" s="91"/>
      <c r="V438" s="91"/>
      <c r="W438" s="91"/>
      <c r="X438" s="91" t="s">
        <v>927</v>
      </c>
      <c r="Y438" s="91"/>
      <c r="Z438" s="91"/>
      <c r="AA438" s="91"/>
      <c r="AB438" s="91"/>
      <c r="AC438" s="91"/>
      <c r="AD438" s="91"/>
      <c r="AE438" s="91"/>
      <c r="AF438" s="91"/>
      <c r="AG438" s="91"/>
      <c r="AH438" s="91"/>
      <c r="AI438" s="91"/>
      <c r="AJ438" s="91"/>
      <c r="AK438" s="91"/>
      <c r="AL438" s="91"/>
      <c r="AM438" s="91"/>
      <c r="AN438" s="91"/>
      <c r="AO438" s="91"/>
      <c r="AP438" s="91"/>
      <c r="AQ438" s="91"/>
      <c r="AR438" s="91"/>
      <c r="AS438" s="91"/>
      <c r="AT438" s="91"/>
      <c r="AU438" s="91"/>
      <c r="AV438" s="91"/>
      <c r="AW438" s="91"/>
      <c r="AX438" s="91"/>
      <c r="AY438" s="91"/>
      <c r="AZ438" s="91"/>
      <c r="BA438" s="91" t="s">
        <v>792</v>
      </c>
      <c r="BB438" s="426"/>
      <c r="BC438" s="426"/>
      <c r="BD438" s="91" t="s">
        <v>792</v>
      </c>
      <c r="BE438" s="91" t="s">
        <v>927</v>
      </c>
      <c r="BF438" s="426"/>
      <c r="BG438" s="426"/>
      <c r="BH438" s="426"/>
      <c r="BI438" s="426"/>
      <c r="BJ438" s="426"/>
      <c r="BK438" s="426"/>
      <c r="BL438" s="91" t="s">
        <v>792</v>
      </c>
      <c r="BM438" s="426"/>
      <c r="BN438" s="426"/>
      <c r="BO438" s="91" t="s">
        <v>792</v>
      </c>
      <c r="BP438" s="426"/>
      <c r="BQ438" s="426"/>
      <c r="BR438" s="426"/>
      <c r="BT438" s="100" t="e">
        <f t="shared" si="18"/>
        <v>#VALUE!</v>
      </c>
      <c r="BW438" s="100">
        <f t="shared" si="19"/>
        <v>0</v>
      </c>
    </row>
    <row r="439" spans="1:75" ht="14.7" hidden="1" customHeight="1" outlineLevel="1" x14ac:dyDescent="0.3">
      <c r="B439" s="425">
        <f t="shared" si="14"/>
        <v>49</v>
      </c>
      <c r="C439" s="95" t="s">
        <v>456</v>
      </c>
      <c r="D439" s="429" t="s">
        <v>796</v>
      </c>
      <c r="E439" s="429" t="s">
        <v>797</v>
      </c>
      <c r="F439" s="91"/>
      <c r="G439" s="91"/>
      <c r="H439" s="91"/>
      <c r="I439" s="91"/>
      <c r="J439" s="91"/>
      <c r="K439" s="91"/>
      <c r="L439" s="91"/>
      <c r="M439" s="91"/>
      <c r="N439" s="91"/>
      <c r="O439" s="91"/>
      <c r="P439" s="91"/>
      <c r="Q439" s="457" t="s">
        <v>792</v>
      </c>
      <c r="R439" s="91"/>
      <c r="S439" s="91"/>
      <c r="T439" s="91"/>
      <c r="U439" s="91"/>
      <c r="V439" s="91"/>
      <c r="W439" s="91"/>
      <c r="X439" s="91" t="s">
        <v>927</v>
      </c>
      <c r="Y439" s="91"/>
      <c r="Z439" s="91"/>
      <c r="AA439" s="91"/>
      <c r="AB439" s="91"/>
      <c r="AC439" s="91"/>
      <c r="AD439" s="91"/>
      <c r="AE439" s="91"/>
      <c r="AF439" s="91"/>
      <c r="AG439" s="91"/>
      <c r="AH439" s="91"/>
      <c r="AI439" s="91"/>
      <c r="AJ439" s="91"/>
      <c r="AK439" s="91"/>
      <c r="AL439" s="91"/>
      <c r="AM439" s="91"/>
      <c r="AN439" s="91"/>
      <c r="AO439" s="91"/>
      <c r="AP439" s="91"/>
      <c r="AQ439" s="91"/>
      <c r="AR439" s="91"/>
      <c r="AS439" s="91"/>
      <c r="AT439" s="91"/>
      <c r="AU439" s="91"/>
      <c r="AV439" s="91"/>
      <c r="AW439" s="91"/>
      <c r="AX439" s="91"/>
      <c r="AY439" s="91"/>
      <c r="AZ439" s="91"/>
      <c r="BA439" s="91" t="s">
        <v>792</v>
      </c>
      <c r="BB439" s="426"/>
      <c r="BC439" s="426"/>
      <c r="BD439" s="91" t="s">
        <v>792</v>
      </c>
      <c r="BE439" s="91" t="s">
        <v>927</v>
      </c>
      <c r="BF439" s="426"/>
      <c r="BG439" s="426"/>
      <c r="BH439" s="426"/>
      <c r="BI439" s="426"/>
      <c r="BJ439" s="426"/>
      <c r="BK439" s="426"/>
      <c r="BL439" s="91" t="s">
        <v>792</v>
      </c>
      <c r="BM439" s="426"/>
      <c r="BN439" s="426"/>
      <c r="BO439" s="91" t="s">
        <v>792</v>
      </c>
      <c r="BP439" s="426"/>
      <c r="BQ439" s="426"/>
      <c r="BR439" s="426"/>
      <c r="BT439" s="100" t="e">
        <f t="shared" si="18"/>
        <v>#VALUE!</v>
      </c>
      <c r="BW439" s="100">
        <f t="shared" si="19"/>
        <v>0</v>
      </c>
    </row>
    <row r="440" spans="1:75" ht="14.7" hidden="1" customHeight="1" outlineLevel="1" x14ac:dyDescent="0.3">
      <c r="B440" s="425">
        <f t="shared" si="14"/>
        <v>50</v>
      </c>
      <c r="C440" s="95" t="s">
        <v>456</v>
      </c>
      <c r="D440" s="429" t="s">
        <v>796</v>
      </c>
      <c r="E440" s="429" t="s">
        <v>797</v>
      </c>
      <c r="F440" s="91"/>
      <c r="G440" s="91"/>
      <c r="H440" s="91"/>
      <c r="I440" s="91"/>
      <c r="J440" s="91"/>
      <c r="K440" s="91"/>
      <c r="L440" s="91"/>
      <c r="M440" s="91"/>
      <c r="N440" s="91"/>
      <c r="O440" s="91"/>
      <c r="P440" s="91"/>
      <c r="Q440" s="457" t="s">
        <v>792</v>
      </c>
      <c r="R440" s="91"/>
      <c r="S440" s="91"/>
      <c r="T440" s="91"/>
      <c r="U440" s="91"/>
      <c r="V440" s="91"/>
      <c r="W440" s="91"/>
      <c r="X440" s="91" t="s">
        <v>927</v>
      </c>
      <c r="Y440" s="91"/>
      <c r="Z440" s="91"/>
      <c r="AA440" s="91"/>
      <c r="AB440" s="91"/>
      <c r="AC440" s="91"/>
      <c r="AD440" s="91"/>
      <c r="AE440" s="91"/>
      <c r="AF440" s="91"/>
      <c r="AG440" s="91"/>
      <c r="AH440" s="91"/>
      <c r="AI440" s="91"/>
      <c r="AJ440" s="91"/>
      <c r="AK440" s="91"/>
      <c r="AL440" s="91"/>
      <c r="AM440" s="91"/>
      <c r="AN440" s="91"/>
      <c r="AO440" s="91"/>
      <c r="AP440" s="91"/>
      <c r="AQ440" s="91"/>
      <c r="AR440" s="91"/>
      <c r="AS440" s="91"/>
      <c r="AT440" s="91"/>
      <c r="AU440" s="91"/>
      <c r="AV440" s="91"/>
      <c r="AW440" s="91"/>
      <c r="AX440" s="91"/>
      <c r="AY440" s="91"/>
      <c r="AZ440" s="91"/>
      <c r="BA440" s="91" t="s">
        <v>792</v>
      </c>
      <c r="BB440" s="426"/>
      <c r="BC440" s="426"/>
      <c r="BD440" s="91" t="s">
        <v>792</v>
      </c>
      <c r="BE440" s="91" t="s">
        <v>927</v>
      </c>
      <c r="BF440" s="426"/>
      <c r="BG440" s="426"/>
      <c r="BH440" s="426"/>
      <c r="BI440" s="426"/>
      <c r="BJ440" s="426"/>
      <c r="BK440" s="426"/>
      <c r="BL440" s="91" t="s">
        <v>792</v>
      </c>
      <c r="BM440" s="426"/>
      <c r="BN440" s="426"/>
      <c r="BO440" s="91" t="s">
        <v>792</v>
      </c>
      <c r="BP440" s="426"/>
      <c r="BQ440" s="426"/>
      <c r="BR440" s="426"/>
      <c r="BT440" s="100" t="e">
        <f t="shared" si="18"/>
        <v>#VALUE!</v>
      </c>
      <c r="BW440" s="100">
        <f t="shared" si="19"/>
        <v>0</v>
      </c>
    </row>
    <row r="441" spans="1:75" ht="14.7" hidden="1" customHeight="1" outlineLevel="1" x14ac:dyDescent="0.3">
      <c r="B441" s="425">
        <f t="shared" si="14"/>
        <v>51</v>
      </c>
      <c r="C441" s="95" t="s">
        <v>456</v>
      </c>
      <c r="D441" s="429" t="s">
        <v>796</v>
      </c>
      <c r="E441" s="429" t="s">
        <v>797</v>
      </c>
      <c r="F441" s="91"/>
      <c r="G441" s="91"/>
      <c r="H441" s="91"/>
      <c r="I441" s="91"/>
      <c r="J441" s="91"/>
      <c r="K441" s="91"/>
      <c r="L441" s="91"/>
      <c r="M441" s="91"/>
      <c r="N441" s="91"/>
      <c r="O441" s="91"/>
      <c r="P441" s="91"/>
      <c r="Q441" s="457" t="s">
        <v>792</v>
      </c>
      <c r="R441" s="91"/>
      <c r="S441" s="91"/>
      <c r="T441" s="91"/>
      <c r="U441" s="91"/>
      <c r="V441" s="91"/>
      <c r="W441" s="91"/>
      <c r="X441" s="91" t="s">
        <v>927</v>
      </c>
      <c r="Y441" s="91"/>
      <c r="Z441" s="91"/>
      <c r="AA441" s="91"/>
      <c r="AB441" s="91"/>
      <c r="AC441" s="91"/>
      <c r="AD441" s="91"/>
      <c r="AE441" s="91"/>
      <c r="AF441" s="91"/>
      <c r="AG441" s="91"/>
      <c r="AH441" s="91"/>
      <c r="AI441" s="91"/>
      <c r="AJ441" s="91"/>
      <c r="AK441" s="91"/>
      <c r="AL441" s="91"/>
      <c r="AM441" s="91"/>
      <c r="AN441" s="91"/>
      <c r="AO441" s="91"/>
      <c r="AP441" s="91"/>
      <c r="AQ441" s="91"/>
      <c r="AR441" s="91"/>
      <c r="AS441" s="91"/>
      <c r="AT441" s="91"/>
      <c r="AU441" s="91"/>
      <c r="AV441" s="91"/>
      <c r="AW441" s="91"/>
      <c r="AX441" s="91"/>
      <c r="AY441" s="91"/>
      <c r="AZ441" s="91"/>
      <c r="BA441" s="91" t="s">
        <v>792</v>
      </c>
      <c r="BB441" s="426"/>
      <c r="BC441" s="426"/>
      <c r="BD441" s="91" t="s">
        <v>792</v>
      </c>
      <c r="BE441" s="91" t="s">
        <v>927</v>
      </c>
      <c r="BF441" s="426"/>
      <c r="BG441" s="426"/>
      <c r="BH441" s="426"/>
      <c r="BI441" s="426"/>
      <c r="BJ441" s="426"/>
      <c r="BK441" s="426"/>
      <c r="BL441" s="91" t="s">
        <v>792</v>
      </c>
      <c r="BM441" s="426"/>
      <c r="BN441" s="426"/>
      <c r="BO441" s="91" t="s">
        <v>792</v>
      </c>
      <c r="BP441" s="426"/>
      <c r="BQ441" s="426"/>
      <c r="BR441" s="426"/>
      <c r="BT441" s="100" t="e">
        <f t="shared" si="18"/>
        <v>#VALUE!</v>
      </c>
      <c r="BW441" s="100">
        <f t="shared" si="19"/>
        <v>0</v>
      </c>
    </row>
    <row r="442" spans="1:75" ht="14.7" hidden="1" customHeight="1" outlineLevel="1" x14ac:dyDescent="0.3">
      <c r="B442" s="425">
        <f t="shared" si="14"/>
        <v>52</v>
      </c>
      <c r="C442" s="95" t="s">
        <v>456</v>
      </c>
      <c r="D442" s="429" t="s">
        <v>796</v>
      </c>
      <c r="E442" s="429" t="s">
        <v>797</v>
      </c>
      <c r="F442" s="91"/>
      <c r="G442" s="91"/>
      <c r="H442" s="91"/>
      <c r="I442" s="91"/>
      <c r="J442" s="91"/>
      <c r="K442" s="91"/>
      <c r="L442" s="91"/>
      <c r="M442" s="91"/>
      <c r="N442" s="91"/>
      <c r="O442" s="91"/>
      <c r="P442" s="91"/>
      <c r="Q442" s="457" t="s">
        <v>792</v>
      </c>
      <c r="R442" s="91"/>
      <c r="S442" s="91"/>
      <c r="T442" s="91"/>
      <c r="U442" s="91"/>
      <c r="V442" s="91"/>
      <c r="W442" s="91"/>
      <c r="X442" s="91" t="s">
        <v>927</v>
      </c>
      <c r="Y442" s="91"/>
      <c r="Z442" s="91"/>
      <c r="AA442" s="91"/>
      <c r="AB442" s="91"/>
      <c r="AC442" s="91"/>
      <c r="AD442" s="91"/>
      <c r="AE442" s="91"/>
      <c r="AF442" s="91"/>
      <c r="AG442" s="91"/>
      <c r="AH442" s="91"/>
      <c r="AI442" s="91"/>
      <c r="AJ442" s="91"/>
      <c r="AK442" s="91"/>
      <c r="AL442" s="91"/>
      <c r="AM442" s="91"/>
      <c r="AN442" s="91"/>
      <c r="AO442" s="91"/>
      <c r="AP442" s="91"/>
      <c r="AQ442" s="91"/>
      <c r="AR442" s="91"/>
      <c r="AS442" s="91"/>
      <c r="AT442" s="91"/>
      <c r="AU442" s="91"/>
      <c r="AV442" s="91"/>
      <c r="AW442" s="91"/>
      <c r="AX442" s="91"/>
      <c r="AY442" s="91"/>
      <c r="AZ442" s="91"/>
      <c r="BA442" s="91" t="s">
        <v>792</v>
      </c>
      <c r="BB442" s="426"/>
      <c r="BC442" s="426"/>
      <c r="BD442" s="91" t="s">
        <v>792</v>
      </c>
      <c r="BE442" s="91" t="s">
        <v>927</v>
      </c>
      <c r="BF442" s="426"/>
      <c r="BG442" s="426"/>
      <c r="BH442" s="426"/>
      <c r="BI442" s="426"/>
      <c r="BJ442" s="426"/>
      <c r="BK442" s="426"/>
      <c r="BL442" s="91" t="s">
        <v>792</v>
      </c>
      <c r="BM442" s="426"/>
      <c r="BN442" s="426"/>
      <c r="BO442" s="91" t="s">
        <v>792</v>
      </c>
      <c r="BP442" s="426"/>
      <c r="BQ442" s="426"/>
      <c r="BR442" s="426"/>
      <c r="BT442" s="100" t="e">
        <f t="shared" si="18"/>
        <v>#VALUE!</v>
      </c>
      <c r="BW442" s="100">
        <f t="shared" si="19"/>
        <v>0</v>
      </c>
    </row>
    <row r="443" spans="1:75" ht="14.7" hidden="1" customHeight="1" outlineLevel="1" x14ac:dyDescent="0.3">
      <c r="B443" s="425">
        <f t="shared" si="14"/>
        <v>53</v>
      </c>
      <c r="C443" s="95" t="s">
        <v>456</v>
      </c>
      <c r="D443" s="429" t="s">
        <v>796</v>
      </c>
      <c r="E443" s="429" t="s">
        <v>797</v>
      </c>
      <c r="F443" s="91"/>
      <c r="G443" s="91"/>
      <c r="H443" s="91"/>
      <c r="I443" s="91"/>
      <c r="J443" s="91"/>
      <c r="K443" s="91"/>
      <c r="L443" s="91"/>
      <c r="M443" s="91"/>
      <c r="N443" s="91"/>
      <c r="O443" s="91"/>
      <c r="P443" s="91"/>
      <c r="Q443" s="457" t="s">
        <v>792</v>
      </c>
      <c r="R443" s="91"/>
      <c r="S443" s="91"/>
      <c r="T443" s="91"/>
      <c r="U443" s="91"/>
      <c r="V443" s="91"/>
      <c r="W443" s="91"/>
      <c r="X443" s="91" t="s">
        <v>927</v>
      </c>
      <c r="Y443" s="91"/>
      <c r="Z443" s="91"/>
      <c r="AA443" s="91"/>
      <c r="AB443" s="91"/>
      <c r="AC443" s="91"/>
      <c r="AD443" s="91"/>
      <c r="AE443" s="91"/>
      <c r="AF443" s="91"/>
      <c r="AG443" s="91"/>
      <c r="AH443" s="91"/>
      <c r="AI443" s="91"/>
      <c r="AJ443" s="91"/>
      <c r="AK443" s="91"/>
      <c r="AL443" s="91"/>
      <c r="AM443" s="91"/>
      <c r="AN443" s="91"/>
      <c r="AO443" s="91"/>
      <c r="AP443" s="91"/>
      <c r="AQ443" s="91"/>
      <c r="AR443" s="91"/>
      <c r="AS443" s="91"/>
      <c r="AT443" s="91"/>
      <c r="AU443" s="91"/>
      <c r="AV443" s="91"/>
      <c r="AW443" s="91"/>
      <c r="AX443" s="91"/>
      <c r="AY443" s="91"/>
      <c r="AZ443" s="91"/>
      <c r="BA443" s="91" t="s">
        <v>792</v>
      </c>
      <c r="BB443" s="426"/>
      <c r="BC443" s="426"/>
      <c r="BD443" s="91" t="s">
        <v>792</v>
      </c>
      <c r="BE443" s="91" t="s">
        <v>927</v>
      </c>
      <c r="BF443" s="426"/>
      <c r="BG443" s="426"/>
      <c r="BH443" s="426"/>
      <c r="BI443" s="426"/>
      <c r="BJ443" s="426"/>
      <c r="BK443" s="426"/>
      <c r="BL443" s="91" t="s">
        <v>792</v>
      </c>
      <c r="BM443" s="426"/>
      <c r="BN443" s="426"/>
      <c r="BO443" s="91" t="s">
        <v>792</v>
      </c>
      <c r="BP443" s="426"/>
      <c r="BQ443" s="426"/>
      <c r="BR443" s="426"/>
      <c r="BT443" s="100" t="e">
        <f t="shared" si="18"/>
        <v>#VALUE!</v>
      </c>
      <c r="BW443" s="100">
        <f t="shared" si="19"/>
        <v>0</v>
      </c>
    </row>
    <row r="444" spans="1:75" ht="14.7" hidden="1" customHeight="1" outlineLevel="1" x14ac:dyDescent="0.3">
      <c r="B444" s="425">
        <f t="shared" si="14"/>
        <v>54</v>
      </c>
      <c r="C444" s="95" t="s">
        <v>456</v>
      </c>
      <c r="D444" s="429" t="s">
        <v>796</v>
      </c>
      <c r="E444" s="429" t="s">
        <v>797</v>
      </c>
      <c r="F444" s="91"/>
      <c r="G444" s="91"/>
      <c r="H444" s="91"/>
      <c r="I444" s="91"/>
      <c r="J444" s="91"/>
      <c r="K444" s="91"/>
      <c r="L444" s="91"/>
      <c r="M444" s="91"/>
      <c r="N444" s="91"/>
      <c r="O444" s="91"/>
      <c r="P444" s="91"/>
      <c r="Q444" s="457" t="s">
        <v>792</v>
      </c>
      <c r="R444" s="91"/>
      <c r="S444" s="91"/>
      <c r="T444" s="91"/>
      <c r="U444" s="91"/>
      <c r="V444" s="91"/>
      <c r="W444" s="91"/>
      <c r="X444" s="91" t="s">
        <v>927</v>
      </c>
      <c r="Y444" s="91"/>
      <c r="Z444" s="91"/>
      <c r="AA444" s="91"/>
      <c r="AB444" s="91"/>
      <c r="AC444" s="91"/>
      <c r="AD444" s="91"/>
      <c r="AE444" s="91"/>
      <c r="AF444" s="91"/>
      <c r="AG444" s="91"/>
      <c r="AH444" s="91"/>
      <c r="AI444" s="91"/>
      <c r="AJ444" s="91"/>
      <c r="AK444" s="91"/>
      <c r="AL444" s="91"/>
      <c r="AM444" s="91"/>
      <c r="AN444" s="91"/>
      <c r="AO444" s="91"/>
      <c r="AP444" s="91"/>
      <c r="AQ444" s="91"/>
      <c r="AR444" s="91"/>
      <c r="AS444" s="91"/>
      <c r="AT444" s="91"/>
      <c r="AU444" s="91"/>
      <c r="AV444" s="91"/>
      <c r="AW444" s="91"/>
      <c r="AX444" s="91"/>
      <c r="AY444" s="91"/>
      <c r="AZ444" s="91"/>
      <c r="BA444" s="91" t="s">
        <v>792</v>
      </c>
      <c r="BB444" s="426"/>
      <c r="BC444" s="426"/>
      <c r="BD444" s="91" t="s">
        <v>792</v>
      </c>
      <c r="BE444" s="91" t="s">
        <v>927</v>
      </c>
      <c r="BF444" s="426"/>
      <c r="BG444" s="426"/>
      <c r="BH444" s="426"/>
      <c r="BI444" s="426"/>
      <c r="BJ444" s="426"/>
      <c r="BK444" s="426"/>
      <c r="BL444" s="91" t="s">
        <v>792</v>
      </c>
      <c r="BM444" s="426"/>
      <c r="BN444" s="426"/>
      <c r="BO444" s="91" t="s">
        <v>792</v>
      </c>
      <c r="BP444" s="426"/>
      <c r="BQ444" s="426"/>
      <c r="BR444" s="426"/>
      <c r="BT444" s="100" t="e">
        <f t="shared" si="18"/>
        <v>#VALUE!</v>
      </c>
      <c r="BW444" s="100">
        <f t="shared" si="19"/>
        <v>0</v>
      </c>
    </row>
    <row r="445" spans="1:75" ht="14.7" hidden="1" customHeight="1" outlineLevel="1" x14ac:dyDescent="0.3">
      <c r="B445" s="425">
        <f t="shared" si="14"/>
        <v>55</v>
      </c>
      <c r="C445" s="95" t="s">
        <v>456</v>
      </c>
      <c r="D445" s="429" t="s">
        <v>796</v>
      </c>
      <c r="E445" s="429" t="s">
        <v>797</v>
      </c>
      <c r="F445" s="91"/>
      <c r="G445" s="91"/>
      <c r="H445" s="91"/>
      <c r="I445" s="91"/>
      <c r="J445" s="91"/>
      <c r="K445" s="91"/>
      <c r="L445" s="91"/>
      <c r="M445" s="91"/>
      <c r="N445" s="91"/>
      <c r="O445" s="91"/>
      <c r="P445" s="91"/>
      <c r="Q445" s="457" t="s">
        <v>792</v>
      </c>
      <c r="R445" s="91"/>
      <c r="S445" s="91"/>
      <c r="T445" s="91"/>
      <c r="U445" s="91"/>
      <c r="V445" s="91"/>
      <c r="W445" s="91"/>
      <c r="X445" s="91" t="s">
        <v>927</v>
      </c>
      <c r="Y445" s="91"/>
      <c r="Z445" s="91"/>
      <c r="AA445" s="91"/>
      <c r="AB445" s="91"/>
      <c r="AC445" s="91"/>
      <c r="AD445" s="91"/>
      <c r="AE445" s="91"/>
      <c r="AF445" s="91"/>
      <c r="AG445" s="91"/>
      <c r="AH445" s="91"/>
      <c r="AI445" s="91"/>
      <c r="AJ445" s="91"/>
      <c r="AK445" s="91"/>
      <c r="AL445" s="91"/>
      <c r="AM445" s="91"/>
      <c r="AN445" s="91"/>
      <c r="AO445" s="91"/>
      <c r="AP445" s="91"/>
      <c r="AQ445" s="91"/>
      <c r="AR445" s="91"/>
      <c r="AS445" s="91"/>
      <c r="AT445" s="91"/>
      <c r="AU445" s="91"/>
      <c r="AV445" s="91"/>
      <c r="AW445" s="91"/>
      <c r="AX445" s="91"/>
      <c r="AY445" s="91"/>
      <c r="AZ445" s="91"/>
      <c r="BA445" s="91" t="s">
        <v>792</v>
      </c>
      <c r="BB445" s="426"/>
      <c r="BC445" s="426"/>
      <c r="BD445" s="91" t="s">
        <v>792</v>
      </c>
      <c r="BE445" s="91" t="s">
        <v>927</v>
      </c>
      <c r="BF445" s="426"/>
      <c r="BG445" s="426"/>
      <c r="BH445" s="426"/>
      <c r="BI445" s="426"/>
      <c r="BJ445" s="426"/>
      <c r="BK445" s="426"/>
      <c r="BL445" s="91" t="s">
        <v>792</v>
      </c>
      <c r="BM445" s="426"/>
      <c r="BN445" s="426"/>
      <c r="BO445" s="91" t="s">
        <v>792</v>
      </c>
      <c r="BP445" s="426"/>
      <c r="BQ445" s="426"/>
      <c r="BR445" s="426"/>
      <c r="BT445" s="100" t="e">
        <f t="shared" si="18"/>
        <v>#VALUE!</v>
      </c>
      <c r="BW445" s="100">
        <f t="shared" si="19"/>
        <v>0</v>
      </c>
    </row>
    <row r="446" spans="1:75" ht="14.7" hidden="1" customHeight="1" outlineLevel="1" x14ac:dyDescent="0.3">
      <c r="B446" s="425">
        <f t="shared" si="14"/>
        <v>56</v>
      </c>
      <c r="C446" s="95" t="s">
        <v>456</v>
      </c>
      <c r="D446" s="429" t="s">
        <v>796</v>
      </c>
      <c r="E446" s="429" t="s">
        <v>797</v>
      </c>
      <c r="F446" s="91"/>
      <c r="G446" s="91"/>
      <c r="H446" s="91"/>
      <c r="I446" s="91"/>
      <c r="J446" s="91"/>
      <c r="K446" s="91"/>
      <c r="L446" s="91"/>
      <c r="M446" s="91"/>
      <c r="N446" s="91"/>
      <c r="O446" s="91"/>
      <c r="P446" s="91"/>
      <c r="Q446" s="457" t="s">
        <v>792</v>
      </c>
      <c r="R446" s="91"/>
      <c r="S446" s="91"/>
      <c r="T446" s="91"/>
      <c r="U446" s="91"/>
      <c r="V446" s="91"/>
      <c r="W446" s="91"/>
      <c r="X446" s="91" t="s">
        <v>927</v>
      </c>
      <c r="Y446" s="91"/>
      <c r="Z446" s="91"/>
      <c r="AA446" s="91"/>
      <c r="AB446" s="91"/>
      <c r="AC446" s="91"/>
      <c r="AD446" s="91"/>
      <c r="AE446" s="91"/>
      <c r="AF446" s="91"/>
      <c r="AG446" s="91"/>
      <c r="AH446" s="91"/>
      <c r="AI446" s="91"/>
      <c r="AJ446" s="91"/>
      <c r="AK446" s="91"/>
      <c r="AL446" s="91"/>
      <c r="AM446" s="91"/>
      <c r="AN446" s="91"/>
      <c r="AO446" s="91"/>
      <c r="AP446" s="91"/>
      <c r="AQ446" s="91"/>
      <c r="AR446" s="91"/>
      <c r="AS446" s="91"/>
      <c r="AT446" s="91"/>
      <c r="AU446" s="91"/>
      <c r="AV446" s="91"/>
      <c r="AW446" s="91"/>
      <c r="AX446" s="91"/>
      <c r="AY446" s="91"/>
      <c r="AZ446" s="91"/>
      <c r="BA446" s="91" t="s">
        <v>792</v>
      </c>
      <c r="BB446" s="426"/>
      <c r="BC446" s="426"/>
      <c r="BD446" s="91" t="s">
        <v>792</v>
      </c>
      <c r="BE446" s="91" t="s">
        <v>927</v>
      </c>
      <c r="BF446" s="426"/>
      <c r="BG446" s="426"/>
      <c r="BH446" s="426"/>
      <c r="BI446" s="426"/>
      <c r="BJ446" s="426"/>
      <c r="BK446" s="426"/>
      <c r="BL446" s="91" t="s">
        <v>792</v>
      </c>
      <c r="BM446" s="426"/>
      <c r="BN446" s="426"/>
      <c r="BO446" s="91" t="s">
        <v>792</v>
      </c>
      <c r="BP446" s="426"/>
      <c r="BQ446" s="426"/>
      <c r="BR446" s="426"/>
      <c r="BT446" s="100" t="e">
        <f t="shared" si="18"/>
        <v>#VALUE!</v>
      </c>
      <c r="BW446" s="100">
        <f t="shared" si="19"/>
        <v>0</v>
      </c>
    </row>
    <row r="447" spans="1:75" ht="14.7" hidden="1" customHeight="1" outlineLevel="1" x14ac:dyDescent="0.3">
      <c r="B447" s="425">
        <f t="shared" si="14"/>
        <v>57</v>
      </c>
      <c r="C447" s="95" t="s">
        <v>456</v>
      </c>
      <c r="D447" s="429" t="s">
        <v>796</v>
      </c>
      <c r="E447" s="429" t="s">
        <v>797</v>
      </c>
      <c r="F447" s="91"/>
      <c r="G447" s="91"/>
      <c r="H447" s="91"/>
      <c r="I447" s="91"/>
      <c r="J447" s="91"/>
      <c r="K447" s="91"/>
      <c r="L447" s="91"/>
      <c r="M447" s="91"/>
      <c r="N447" s="91"/>
      <c r="O447" s="91"/>
      <c r="P447" s="91"/>
      <c r="Q447" s="457" t="s">
        <v>792</v>
      </c>
      <c r="R447" s="91"/>
      <c r="S447" s="91"/>
      <c r="T447" s="91"/>
      <c r="U447" s="91"/>
      <c r="V447" s="91"/>
      <c r="W447" s="91"/>
      <c r="X447" s="91" t="s">
        <v>927</v>
      </c>
      <c r="Y447" s="91"/>
      <c r="Z447" s="91"/>
      <c r="AA447" s="91"/>
      <c r="AB447" s="91"/>
      <c r="AC447" s="91"/>
      <c r="AD447" s="91"/>
      <c r="AE447" s="91"/>
      <c r="AF447" s="91"/>
      <c r="AG447" s="91"/>
      <c r="AH447" s="91"/>
      <c r="AI447" s="91"/>
      <c r="AJ447" s="91"/>
      <c r="AK447" s="91"/>
      <c r="AL447" s="91"/>
      <c r="AM447" s="91"/>
      <c r="AN447" s="91"/>
      <c r="AO447" s="91"/>
      <c r="AP447" s="91"/>
      <c r="AQ447" s="91"/>
      <c r="AR447" s="91"/>
      <c r="AS447" s="91"/>
      <c r="AT447" s="91"/>
      <c r="AU447" s="91"/>
      <c r="AV447" s="91"/>
      <c r="AW447" s="91"/>
      <c r="AX447" s="91"/>
      <c r="AY447" s="91"/>
      <c r="AZ447" s="91"/>
      <c r="BA447" s="91" t="s">
        <v>792</v>
      </c>
      <c r="BB447" s="426"/>
      <c r="BC447" s="426"/>
      <c r="BD447" s="91" t="s">
        <v>792</v>
      </c>
      <c r="BE447" s="91" t="s">
        <v>927</v>
      </c>
      <c r="BF447" s="426"/>
      <c r="BG447" s="426"/>
      <c r="BH447" s="426"/>
      <c r="BI447" s="426"/>
      <c r="BJ447" s="426"/>
      <c r="BK447" s="426"/>
      <c r="BL447" s="91" t="s">
        <v>792</v>
      </c>
      <c r="BM447" s="426"/>
      <c r="BN447" s="426"/>
      <c r="BO447" s="91" t="s">
        <v>792</v>
      </c>
      <c r="BP447" s="426"/>
      <c r="BQ447" s="426"/>
      <c r="BR447" s="426"/>
      <c r="BT447" s="100" t="e">
        <f t="shared" si="18"/>
        <v>#VALUE!</v>
      </c>
      <c r="BW447" s="100">
        <f t="shared" si="19"/>
        <v>0</v>
      </c>
    </row>
    <row r="448" spans="1:75" ht="14.7" hidden="1" customHeight="1" outlineLevel="1" x14ac:dyDescent="0.3">
      <c r="B448" s="425">
        <f t="shared" si="14"/>
        <v>58</v>
      </c>
      <c r="C448" s="95" t="s">
        <v>456</v>
      </c>
      <c r="D448" s="429" t="s">
        <v>796</v>
      </c>
      <c r="E448" s="429" t="s">
        <v>797</v>
      </c>
      <c r="F448" s="91"/>
      <c r="G448" s="91"/>
      <c r="H448" s="91"/>
      <c r="I448" s="91"/>
      <c r="J448" s="91"/>
      <c r="K448" s="91"/>
      <c r="L448" s="91"/>
      <c r="M448" s="91"/>
      <c r="N448" s="91"/>
      <c r="O448" s="91"/>
      <c r="P448" s="91"/>
      <c r="Q448" s="457" t="s">
        <v>792</v>
      </c>
      <c r="R448" s="91"/>
      <c r="S448" s="91"/>
      <c r="T448" s="91"/>
      <c r="U448" s="91"/>
      <c r="V448" s="91"/>
      <c r="W448" s="91"/>
      <c r="X448" s="91" t="s">
        <v>927</v>
      </c>
      <c r="Y448" s="91"/>
      <c r="Z448" s="91"/>
      <c r="AA448" s="91"/>
      <c r="AB448" s="91"/>
      <c r="AC448" s="91"/>
      <c r="AD448" s="91"/>
      <c r="AE448" s="91"/>
      <c r="AF448" s="91"/>
      <c r="AG448" s="91"/>
      <c r="AH448" s="91"/>
      <c r="AI448" s="91"/>
      <c r="AJ448" s="91"/>
      <c r="AK448" s="91"/>
      <c r="AL448" s="91"/>
      <c r="AM448" s="91"/>
      <c r="AN448" s="91"/>
      <c r="AO448" s="91"/>
      <c r="AP448" s="91"/>
      <c r="AQ448" s="91"/>
      <c r="AR448" s="91"/>
      <c r="AS448" s="91"/>
      <c r="AT448" s="91"/>
      <c r="AU448" s="91"/>
      <c r="AV448" s="91"/>
      <c r="AW448" s="91"/>
      <c r="AX448" s="91"/>
      <c r="AY448" s="91"/>
      <c r="AZ448" s="91"/>
      <c r="BA448" s="91" t="s">
        <v>792</v>
      </c>
      <c r="BB448" s="426"/>
      <c r="BC448" s="426"/>
      <c r="BD448" s="91" t="s">
        <v>792</v>
      </c>
      <c r="BE448" s="91" t="s">
        <v>927</v>
      </c>
      <c r="BF448" s="426"/>
      <c r="BG448" s="426"/>
      <c r="BH448" s="426"/>
      <c r="BI448" s="426"/>
      <c r="BJ448" s="426"/>
      <c r="BK448" s="426"/>
      <c r="BL448" s="91" t="s">
        <v>792</v>
      </c>
      <c r="BM448" s="426"/>
      <c r="BN448" s="426"/>
      <c r="BO448" s="91" t="s">
        <v>792</v>
      </c>
      <c r="BP448" s="426"/>
      <c r="BQ448" s="426"/>
      <c r="BR448" s="426"/>
      <c r="BT448" s="100" t="e">
        <f t="shared" si="18"/>
        <v>#VALUE!</v>
      </c>
      <c r="BW448" s="100">
        <f t="shared" si="19"/>
        <v>0</v>
      </c>
    </row>
    <row r="449" spans="2:75" ht="14.7" hidden="1" customHeight="1" outlineLevel="1" x14ac:dyDescent="0.3">
      <c r="B449" s="425">
        <f t="shared" si="14"/>
        <v>59</v>
      </c>
      <c r="C449" s="95" t="s">
        <v>456</v>
      </c>
      <c r="D449" s="429" t="s">
        <v>796</v>
      </c>
      <c r="E449" s="429" t="s">
        <v>797</v>
      </c>
      <c r="F449" s="91"/>
      <c r="G449" s="91"/>
      <c r="H449" s="91"/>
      <c r="I449" s="91"/>
      <c r="J449" s="91"/>
      <c r="K449" s="91"/>
      <c r="L449" s="91"/>
      <c r="M449" s="91"/>
      <c r="N449" s="91"/>
      <c r="O449" s="91"/>
      <c r="P449" s="91"/>
      <c r="Q449" s="457" t="s">
        <v>792</v>
      </c>
      <c r="R449" s="91"/>
      <c r="S449" s="91"/>
      <c r="T449" s="91"/>
      <c r="U449" s="91"/>
      <c r="V449" s="91"/>
      <c r="W449" s="91"/>
      <c r="X449" s="91" t="s">
        <v>927</v>
      </c>
      <c r="Y449" s="91"/>
      <c r="Z449" s="91"/>
      <c r="AA449" s="91"/>
      <c r="AB449" s="91"/>
      <c r="AC449" s="91"/>
      <c r="AD449" s="91"/>
      <c r="AE449" s="91"/>
      <c r="AF449" s="91"/>
      <c r="AG449" s="91"/>
      <c r="AH449" s="91"/>
      <c r="AI449" s="91"/>
      <c r="AJ449" s="91"/>
      <c r="AK449" s="91"/>
      <c r="AL449" s="91"/>
      <c r="AM449" s="91"/>
      <c r="AN449" s="91"/>
      <c r="AO449" s="91"/>
      <c r="AP449" s="91"/>
      <c r="AQ449" s="91"/>
      <c r="AR449" s="91"/>
      <c r="AS449" s="91"/>
      <c r="AT449" s="91"/>
      <c r="AU449" s="91"/>
      <c r="AV449" s="91"/>
      <c r="AW449" s="91"/>
      <c r="AX449" s="91"/>
      <c r="AY449" s="91"/>
      <c r="AZ449" s="91"/>
      <c r="BA449" s="91" t="s">
        <v>792</v>
      </c>
      <c r="BB449" s="426"/>
      <c r="BC449" s="426"/>
      <c r="BD449" s="91" t="s">
        <v>792</v>
      </c>
      <c r="BE449" s="91" t="s">
        <v>927</v>
      </c>
      <c r="BF449" s="426"/>
      <c r="BG449" s="426"/>
      <c r="BH449" s="426"/>
      <c r="BI449" s="426"/>
      <c r="BJ449" s="426"/>
      <c r="BK449" s="426"/>
      <c r="BL449" s="91" t="s">
        <v>792</v>
      </c>
      <c r="BM449" s="426"/>
      <c r="BN449" s="426"/>
      <c r="BO449" s="91" t="s">
        <v>792</v>
      </c>
      <c r="BP449" s="426"/>
      <c r="BQ449" s="426"/>
      <c r="BR449" s="426"/>
      <c r="BT449" s="100" t="e">
        <f t="shared" si="18"/>
        <v>#VALUE!</v>
      </c>
      <c r="BW449" s="100">
        <f t="shared" si="19"/>
        <v>0</v>
      </c>
    </row>
    <row r="450" spans="2:75" ht="14.7" hidden="1" customHeight="1" outlineLevel="1" x14ac:dyDescent="0.3">
      <c r="B450" s="425">
        <f t="shared" si="14"/>
        <v>60</v>
      </c>
      <c r="C450" s="95" t="s">
        <v>456</v>
      </c>
      <c r="D450" s="429" t="s">
        <v>796</v>
      </c>
      <c r="E450" s="429" t="s">
        <v>797</v>
      </c>
      <c r="F450" s="91"/>
      <c r="G450" s="91"/>
      <c r="H450" s="91"/>
      <c r="I450" s="91"/>
      <c r="J450" s="91"/>
      <c r="K450" s="91"/>
      <c r="L450" s="91"/>
      <c r="M450" s="91"/>
      <c r="N450" s="91"/>
      <c r="O450" s="91"/>
      <c r="P450" s="91"/>
      <c r="Q450" s="457" t="s">
        <v>792</v>
      </c>
      <c r="R450" s="91"/>
      <c r="S450" s="91"/>
      <c r="T450" s="91"/>
      <c r="U450" s="91"/>
      <c r="V450" s="91"/>
      <c r="W450" s="91"/>
      <c r="X450" s="91" t="s">
        <v>927</v>
      </c>
      <c r="Y450" s="91"/>
      <c r="Z450" s="91"/>
      <c r="AA450" s="91"/>
      <c r="AB450" s="91"/>
      <c r="AC450" s="91"/>
      <c r="AD450" s="91"/>
      <c r="AE450" s="91"/>
      <c r="AF450" s="91"/>
      <c r="AG450" s="91"/>
      <c r="AH450" s="91"/>
      <c r="AI450" s="91"/>
      <c r="AJ450" s="91"/>
      <c r="AK450" s="91"/>
      <c r="AL450" s="91"/>
      <c r="AM450" s="91"/>
      <c r="AN450" s="91"/>
      <c r="AO450" s="91"/>
      <c r="AP450" s="91"/>
      <c r="AQ450" s="91"/>
      <c r="AR450" s="91"/>
      <c r="AS450" s="91"/>
      <c r="AT450" s="91"/>
      <c r="AU450" s="91"/>
      <c r="AV450" s="91"/>
      <c r="AW450" s="91"/>
      <c r="AX450" s="91"/>
      <c r="AY450" s="91"/>
      <c r="AZ450" s="91"/>
      <c r="BA450" s="91" t="s">
        <v>792</v>
      </c>
      <c r="BB450" s="426"/>
      <c r="BC450" s="426"/>
      <c r="BD450" s="91" t="s">
        <v>792</v>
      </c>
      <c r="BE450" s="91" t="s">
        <v>927</v>
      </c>
      <c r="BF450" s="426"/>
      <c r="BG450" s="426"/>
      <c r="BH450" s="426"/>
      <c r="BI450" s="426"/>
      <c r="BJ450" s="426"/>
      <c r="BK450" s="426"/>
      <c r="BL450" s="91" t="s">
        <v>792</v>
      </c>
      <c r="BM450" s="426"/>
      <c r="BN450" s="426"/>
      <c r="BO450" s="91" t="s">
        <v>792</v>
      </c>
      <c r="BP450" s="426"/>
      <c r="BQ450" s="426"/>
      <c r="BR450" s="426"/>
      <c r="BT450" s="100" t="e">
        <f t="shared" si="18"/>
        <v>#VALUE!</v>
      </c>
      <c r="BW450" s="100">
        <f t="shared" si="19"/>
        <v>0</v>
      </c>
    </row>
    <row r="451" spans="2:75" ht="14.7" hidden="1" customHeight="1" outlineLevel="1" x14ac:dyDescent="0.3">
      <c r="B451" s="425">
        <f t="shared" si="14"/>
        <v>61</v>
      </c>
      <c r="C451" s="95" t="s">
        <v>456</v>
      </c>
      <c r="D451" s="429" t="s">
        <v>796</v>
      </c>
      <c r="E451" s="429" t="s">
        <v>797</v>
      </c>
      <c r="F451" s="91"/>
      <c r="G451" s="91"/>
      <c r="H451" s="91"/>
      <c r="I451" s="91"/>
      <c r="J451" s="91"/>
      <c r="K451" s="91"/>
      <c r="L451" s="91"/>
      <c r="M451" s="91"/>
      <c r="N451" s="91"/>
      <c r="O451" s="91"/>
      <c r="P451" s="91"/>
      <c r="Q451" s="457" t="s">
        <v>792</v>
      </c>
      <c r="R451" s="91"/>
      <c r="S451" s="91"/>
      <c r="T451" s="91"/>
      <c r="U451" s="91"/>
      <c r="V451" s="91"/>
      <c r="W451" s="91"/>
      <c r="X451" s="91" t="s">
        <v>927</v>
      </c>
      <c r="Y451" s="91"/>
      <c r="Z451" s="91"/>
      <c r="AA451" s="91"/>
      <c r="AB451" s="91"/>
      <c r="AC451" s="91"/>
      <c r="AD451" s="91"/>
      <c r="AE451" s="91"/>
      <c r="AF451" s="91"/>
      <c r="AG451" s="91"/>
      <c r="AH451" s="91"/>
      <c r="AI451" s="91"/>
      <c r="AJ451" s="91"/>
      <c r="AK451" s="91"/>
      <c r="AL451" s="91"/>
      <c r="AM451" s="91"/>
      <c r="AN451" s="91"/>
      <c r="AO451" s="91"/>
      <c r="AP451" s="91"/>
      <c r="AQ451" s="91"/>
      <c r="AR451" s="91"/>
      <c r="AS451" s="91"/>
      <c r="AT451" s="91"/>
      <c r="AU451" s="91"/>
      <c r="AV451" s="91"/>
      <c r="AW451" s="91"/>
      <c r="AX451" s="91"/>
      <c r="AY451" s="91"/>
      <c r="AZ451" s="91"/>
      <c r="BA451" s="91" t="s">
        <v>792</v>
      </c>
      <c r="BB451" s="426"/>
      <c r="BC451" s="426"/>
      <c r="BD451" s="91" t="s">
        <v>792</v>
      </c>
      <c r="BE451" s="91" t="s">
        <v>927</v>
      </c>
      <c r="BF451" s="426"/>
      <c r="BG451" s="426"/>
      <c r="BH451" s="426"/>
      <c r="BI451" s="426"/>
      <c r="BJ451" s="426"/>
      <c r="BK451" s="426"/>
      <c r="BL451" s="91" t="s">
        <v>792</v>
      </c>
      <c r="BM451" s="426"/>
      <c r="BN451" s="426"/>
      <c r="BO451" s="91" t="s">
        <v>792</v>
      </c>
      <c r="BP451" s="426"/>
      <c r="BQ451" s="426"/>
      <c r="BR451" s="426"/>
      <c r="BT451" s="100" t="e">
        <f t="shared" si="18"/>
        <v>#VALUE!</v>
      </c>
      <c r="BW451" s="100">
        <f t="shared" si="19"/>
        <v>0</v>
      </c>
    </row>
    <row r="452" spans="2:75" ht="14.7" hidden="1" customHeight="1" outlineLevel="1" x14ac:dyDescent="0.3">
      <c r="B452" s="425">
        <f t="shared" si="14"/>
        <v>62</v>
      </c>
      <c r="C452" s="95" t="s">
        <v>456</v>
      </c>
      <c r="D452" s="429" t="s">
        <v>796</v>
      </c>
      <c r="E452" s="429" t="s">
        <v>797</v>
      </c>
      <c r="F452" s="91"/>
      <c r="G452" s="91"/>
      <c r="H452" s="91"/>
      <c r="I452" s="91"/>
      <c r="J452" s="91"/>
      <c r="K452" s="91"/>
      <c r="L452" s="91"/>
      <c r="M452" s="91"/>
      <c r="N452" s="91"/>
      <c r="O452" s="91"/>
      <c r="P452" s="91"/>
      <c r="Q452" s="457" t="s">
        <v>792</v>
      </c>
      <c r="R452" s="91"/>
      <c r="S452" s="91"/>
      <c r="T452" s="91"/>
      <c r="U452" s="91"/>
      <c r="V452" s="91"/>
      <c r="W452" s="91"/>
      <c r="X452" s="91" t="s">
        <v>927</v>
      </c>
      <c r="Y452" s="91"/>
      <c r="Z452" s="91"/>
      <c r="AA452" s="91"/>
      <c r="AB452" s="91"/>
      <c r="AC452" s="91"/>
      <c r="AD452" s="91"/>
      <c r="AE452" s="91"/>
      <c r="AF452" s="91"/>
      <c r="AG452" s="91"/>
      <c r="AH452" s="91"/>
      <c r="AI452" s="91"/>
      <c r="AJ452" s="91"/>
      <c r="AK452" s="91"/>
      <c r="AL452" s="91"/>
      <c r="AM452" s="91"/>
      <c r="AN452" s="91"/>
      <c r="AO452" s="91"/>
      <c r="AP452" s="91"/>
      <c r="AQ452" s="91"/>
      <c r="AR452" s="91"/>
      <c r="AS452" s="91"/>
      <c r="AT452" s="91"/>
      <c r="AU452" s="91"/>
      <c r="AV452" s="91"/>
      <c r="AW452" s="91"/>
      <c r="AX452" s="91"/>
      <c r="AY452" s="91"/>
      <c r="AZ452" s="91"/>
      <c r="BA452" s="91" t="s">
        <v>792</v>
      </c>
      <c r="BB452" s="426"/>
      <c r="BC452" s="426"/>
      <c r="BD452" s="91" t="s">
        <v>792</v>
      </c>
      <c r="BE452" s="91" t="s">
        <v>927</v>
      </c>
      <c r="BF452" s="426"/>
      <c r="BG452" s="426"/>
      <c r="BH452" s="426"/>
      <c r="BI452" s="426"/>
      <c r="BJ452" s="426"/>
      <c r="BK452" s="426"/>
      <c r="BL452" s="91" t="s">
        <v>792</v>
      </c>
      <c r="BM452" s="426"/>
      <c r="BN452" s="426"/>
      <c r="BO452" s="91" t="s">
        <v>792</v>
      </c>
      <c r="BP452" s="426"/>
      <c r="BQ452" s="426"/>
      <c r="BR452" s="426"/>
      <c r="BT452" s="100" t="e">
        <f t="shared" si="18"/>
        <v>#VALUE!</v>
      </c>
      <c r="BW452" s="100">
        <f t="shared" si="19"/>
        <v>0</v>
      </c>
    </row>
    <row r="453" spans="2:75" ht="14.7" hidden="1" customHeight="1" outlineLevel="1" x14ac:dyDescent="0.3">
      <c r="B453" s="425">
        <f t="shared" si="14"/>
        <v>63</v>
      </c>
      <c r="C453" s="95" t="s">
        <v>456</v>
      </c>
      <c r="D453" s="429" t="s">
        <v>796</v>
      </c>
      <c r="E453" s="429" t="s">
        <v>797</v>
      </c>
      <c r="F453" s="91"/>
      <c r="G453" s="91"/>
      <c r="H453" s="91"/>
      <c r="I453" s="91"/>
      <c r="J453" s="91"/>
      <c r="K453" s="91"/>
      <c r="L453" s="91"/>
      <c r="M453" s="91"/>
      <c r="N453" s="91"/>
      <c r="O453" s="91"/>
      <c r="P453" s="91"/>
      <c r="Q453" s="457" t="s">
        <v>792</v>
      </c>
      <c r="R453" s="91"/>
      <c r="S453" s="91"/>
      <c r="T453" s="91"/>
      <c r="U453" s="91"/>
      <c r="V453" s="91"/>
      <c r="W453" s="91"/>
      <c r="X453" s="91" t="s">
        <v>927</v>
      </c>
      <c r="Y453" s="91"/>
      <c r="Z453" s="91"/>
      <c r="AA453" s="91"/>
      <c r="AB453" s="91"/>
      <c r="AC453" s="91"/>
      <c r="AD453" s="91"/>
      <c r="AE453" s="91"/>
      <c r="AF453" s="91"/>
      <c r="AG453" s="91"/>
      <c r="AH453" s="91"/>
      <c r="AI453" s="91"/>
      <c r="AJ453" s="91"/>
      <c r="AK453" s="91"/>
      <c r="AL453" s="91"/>
      <c r="AM453" s="91"/>
      <c r="AN453" s="91"/>
      <c r="AO453" s="91"/>
      <c r="AP453" s="91"/>
      <c r="AQ453" s="91"/>
      <c r="AR453" s="91"/>
      <c r="AS453" s="91"/>
      <c r="AT453" s="91"/>
      <c r="AU453" s="91"/>
      <c r="AV453" s="91"/>
      <c r="AW453" s="91"/>
      <c r="AX453" s="91"/>
      <c r="AY453" s="91"/>
      <c r="AZ453" s="91"/>
      <c r="BA453" s="91" t="s">
        <v>792</v>
      </c>
      <c r="BB453" s="426"/>
      <c r="BC453" s="426"/>
      <c r="BD453" s="91" t="s">
        <v>792</v>
      </c>
      <c r="BE453" s="91" t="s">
        <v>927</v>
      </c>
      <c r="BF453" s="426"/>
      <c r="BG453" s="426"/>
      <c r="BH453" s="426"/>
      <c r="BI453" s="426"/>
      <c r="BJ453" s="426"/>
      <c r="BK453" s="426"/>
      <c r="BL453" s="91" t="s">
        <v>792</v>
      </c>
      <c r="BM453" s="426"/>
      <c r="BN453" s="426"/>
      <c r="BO453" s="91" t="s">
        <v>792</v>
      </c>
      <c r="BP453" s="426"/>
      <c r="BQ453" s="426"/>
      <c r="BR453" s="426"/>
      <c r="BT453" s="100" t="e">
        <f t="shared" si="18"/>
        <v>#VALUE!</v>
      </c>
      <c r="BW453" s="100">
        <f t="shared" si="19"/>
        <v>0</v>
      </c>
    </row>
    <row r="454" spans="2:75" ht="14.7" hidden="1" customHeight="1" outlineLevel="1" x14ac:dyDescent="0.3">
      <c r="B454" s="425">
        <f t="shared" si="14"/>
        <v>64</v>
      </c>
      <c r="C454" s="95" t="s">
        <v>456</v>
      </c>
      <c r="D454" s="429" t="s">
        <v>796</v>
      </c>
      <c r="E454" s="429" t="s">
        <v>797</v>
      </c>
      <c r="F454" s="91"/>
      <c r="G454" s="91"/>
      <c r="H454" s="91"/>
      <c r="I454" s="91"/>
      <c r="J454" s="91"/>
      <c r="K454" s="91"/>
      <c r="L454" s="91"/>
      <c r="M454" s="91"/>
      <c r="N454" s="91"/>
      <c r="O454" s="91"/>
      <c r="P454" s="91"/>
      <c r="Q454" s="457" t="s">
        <v>792</v>
      </c>
      <c r="R454" s="91"/>
      <c r="S454" s="91"/>
      <c r="T454" s="91"/>
      <c r="U454" s="91"/>
      <c r="V454" s="91"/>
      <c r="W454" s="91"/>
      <c r="X454" s="91" t="s">
        <v>927</v>
      </c>
      <c r="Y454" s="91"/>
      <c r="Z454" s="91"/>
      <c r="AA454" s="91"/>
      <c r="AB454" s="91"/>
      <c r="AC454" s="91"/>
      <c r="AD454" s="91"/>
      <c r="AE454" s="91"/>
      <c r="AF454" s="91"/>
      <c r="AG454" s="91"/>
      <c r="AH454" s="91"/>
      <c r="AI454" s="91"/>
      <c r="AJ454" s="91"/>
      <c r="AK454" s="91"/>
      <c r="AL454" s="91"/>
      <c r="AM454" s="91"/>
      <c r="AN454" s="91"/>
      <c r="AO454" s="91"/>
      <c r="AP454" s="91"/>
      <c r="AQ454" s="91"/>
      <c r="AR454" s="91"/>
      <c r="AS454" s="91"/>
      <c r="AT454" s="91"/>
      <c r="AU454" s="91"/>
      <c r="AV454" s="91"/>
      <c r="AW454" s="91"/>
      <c r="AX454" s="91"/>
      <c r="AY454" s="91"/>
      <c r="AZ454" s="91"/>
      <c r="BA454" s="91" t="s">
        <v>792</v>
      </c>
      <c r="BB454" s="426"/>
      <c r="BC454" s="426"/>
      <c r="BD454" s="91" t="s">
        <v>792</v>
      </c>
      <c r="BE454" s="91" t="s">
        <v>927</v>
      </c>
      <c r="BF454" s="426"/>
      <c r="BG454" s="426"/>
      <c r="BH454" s="426"/>
      <c r="BI454" s="426"/>
      <c r="BJ454" s="426"/>
      <c r="BK454" s="426"/>
      <c r="BL454" s="91" t="s">
        <v>792</v>
      </c>
      <c r="BM454" s="426"/>
      <c r="BN454" s="426"/>
      <c r="BO454" s="91" t="s">
        <v>792</v>
      </c>
      <c r="BP454" s="426"/>
      <c r="BQ454" s="426"/>
      <c r="BR454" s="426"/>
      <c r="BT454" s="100" t="e">
        <f t="shared" si="18"/>
        <v>#VALUE!</v>
      </c>
      <c r="BW454" s="100">
        <f t="shared" si="19"/>
        <v>0</v>
      </c>
    </row>
    <row r="455" spans="2:75" ht="14.7" hidden="1" customHeight="1" outlineLevel="1" x14ac:dyDescent="0.3">
      <c r="B455" s="425">
        <f t="shared" si="14"/>
        <v>65</v>
      </c>
      <c r="C455" s="95" t="s">
        <v>456</v>
      </c>
      <c r="D455" s="429" t="s">
        <v>796</v>
      </c>
      <c r="E455" s="429" t="s">
        <v>797</v>
      </c>
      <c r="F455" s="91"/>
      <c r="G455" s="91"/>
      <c r="H455" s="91"/>
      <c r="I455" s="91"/>
      <c r="J455" s="91"/>
      <c r="K455" s="91"/>
      <c r="L455" s="91"/>
      <c r="M455" s="91"/>
      <c r="N455" s="91"/>
      <c r="O455" s="91"/>
      <c r="P455" s="91"/>
      <c r="Q455" s="457" t="s">
        <v>792</v>
      </c>
      <c r="R455" s="91"/>
      <c r="S455" s="91"/>
      <c r="T455" s="91"/>
      <c r="U455" s="91"/>
      <c r="V455" s="91"/>
      <c r="W455" s="91"/>
      <c r="X455" s="91" t="s">
        <v>927</v>
      </c>
      <c r="Y455" s="91"/>
      <c r="Z455" s="91"/>
      <c r="AA455" s="91"/>
      <c r="AB455" s="91"/>
      <c r="AC455" s="91"/>
      <c r="AD455" s="91"/>
      <c r="AE455" s="91"/>
      <c r="AF455" s="91"/>
      <c r="AG455" s="91"/>
      <c r="AH455" s="91"/>
      <c r="AI455" s="91"/>
      <c r="AJ455" s="91"/>
      <c r="AK455" s="91"/>
      <c r="AL455" s="91"/>
      <c r="AM455" s="91"/>
      <c r="AN455" s="91"/>
      <c r="AO455" s="91"/>
      <c r="AP455" s="91"/>
      <c r="AQ455" s="91"/>
      <c r="AR455" s="91"/>
      <c r="AS455" s="91"/>
      <c r="AT455" s="91"/>
      <c r="AU455" s="91"/>
      <c r="AV455" s="91"/>
      <c r="AW455" s="91"/>
      <c r="AX455" s="91"/>
      <c r="AY455" s="91"/>
      <c r="AZ455" s="91"/>
      <c r="BA455" s="91" t="s">
        <v>792</v>
      </c>
      <c r="BB455" s="426"/>
      <c r="BC455" s="426"/>
      <c r="BD455" s="91" t="s">
        <v>792</v>
      </c>
      <c r="BE455" s="91" t="s">
        <v>927</v>
      </c>
      <c r="BF455" s="426"/>
      <c r="BG455" s="426"/>
      <c r="BH455" s="426"/>
      <c r="BI455" s="426"/>
      <c r="BJ455" s="426"/>
      <c r="BK455" s="426"/>
      <c r="BL455" s="91" t="s">
        <v>792</v>
      </c>
      <c r="BM455" s="426"/>
      <c r="BN455" s="426"/>
      <c r="BO455" s="91" t="s">
        <v>792</v>
      </c>
      <c r="BP455" s="426"/>
      <c r="BQ455" s="426"/>
      <c r="BR455" s="426"/>
      <c r="BT455" s="100" t="e">
        <f t="shared" si="18"/>
        <v>#VALUE!</v>
      </c>
      <c r="BW455" s="100">
        <f t="shared" si="19"/>
        <v>0</v>
      </c>
    </row>
    <row r="456" spans="2:75" ht="14.7" hidden="1" customHeight="1" outlineLevel="1" x14ac:dyDescent="0.3">
      <c r="B456" s="425">
        <f t="shared" ref="B456:B467" si="20">1+B455</f>
        <v>66</v>
      </c>
      <c r="C456" s="95" t="s">
        <v>456</v>
      </c>
      <c r="D456" s="429" t="s">
        <v>796</v>
      </c>
      <c r="E456" s="429" t="s">
        <v>797</v>
      </c>
      <c r="F456" s="91"/>
      <c r="G456" s="91"/>
      <c r="H456" s="91"/>
      <c r="I456" s="91"/>
      <c r="J456" s="91"/>
      <c r="K456" s="91"/>
      <c r="L456" s="91"/>
      <c r="M456" s="91"/>
      <c r="N456" s="91"/>
      <c r="O456" s="91"/>
      <c r="P456" s="91"/>
      <c r="Q456" s="457" t="s">
        <v>792</v>
      </c>
      <c r="R456" s="91"/>
      <c r="S456" s="91"/>
      <c r="T456" s="91"/>
      <c r="U456" s="91"/>
      <c r="V456" s="91"/>
      <c r="W456" s="91"/>
      <c r="X456" s="91" t="s">
        <v>927</v>
      </c>
      <c r="Y456" s="91"/>
      <c r="Z456" s="91"/>
      <c r="AA456" s="91"/>
      <c r="AB456" s="91"/>
      <c r="AC456" s="91"/>
      <c r="AD456" s="91"/>
      <c r="AE456" s="91"/>
      <c r="AF456" s="91"/>
      <c r="AG456" s="91"/>
      <c r="AH456" s="91"/>
      <c r="AI456" s="91"/>
      <c r="AJ456" s="91"/>
      <c r="AK456" s="91"/>
      <c r="AL456" s="91"/>
      <c r="AM456" s="91"/>
      <c r="AN456" s="91"/>
      <c r="AO456" s="91"/>
      <c r="AP456" s="91"/>
      <c r="AQ456" s="91"/>
      <c r="AR456" s="91"/>
      <c r="AS456" s="91"/>
      <c r="AT456" s="91"/>
      <c r="AU456" s="91"/>
      <c r="AV456" s="91"/>
      <c r="AW456" s="91"/>
      <c r="AX456" s="91"/>
      <c r="AY456" s="91"/>
      <c r="AZ456" s="91"/>
      <c r="BA456" s="91" t="s">
        <v>792</v>
      </c>
      <c r="BB456" s="426"/>
      <c r="BC456" s="426"/>
      <c r="BD456" s="91" t="s">
        <v>792</v>
      </c>
      <c r="BE456" s="91" t="s">
        <v>927</v>
      </c>
      <c r="BF456" s="426"/>
      <c r="BG456" s="426"/>
      <c r="BH456" s="426"/>
      <c r="BI456" s="426"/>
      <c r="BJ456" s="426"/>
      <c r="BK456" s="426"/>
      <c r="BL456" s="91" t="s">
        <v>792</v>
      </c>
      <c r="BM456" s="426"/>
      <c r="BN456" s="426"/>
      <c r="BO456" s="91" t="s">
        <v>792</v>
      </c>
      <c r="BP456" s="426"/>
      <c r="BQ456" s="426"/>
      <c r="BR456" s="426"/>
      <c r="BT456" s="100" t="e">
        <f t="shared" si="18"/>
        <v>#VALUE!</v>
      </c>
      <c r="BW456" s="100">
        <f t="shared" si="19"/>
        <v>0</v>
      </c>
    </row>
    <row r="457" spans="2:75" ht="14.7" hidden="1" customHeight="1" outlineLevel="1" x14ac:dyDescent="0.3">
      <c r="B457" s="425">
        <f t="shared" si="20"/>
        <v>67</v>
      </c>
      <c r="C457" s="95" t="s">
        <v>456</v>
      </c>
      <c r="D457" s="429" t="s">
        <v>796</v>
      </c>
      <c r="E457" s="429" t="s">
        <v>797</v>
      </c>
      <c r="F457" s="91"/>
      <c r="G457" s="91"/>
      <c r="H457" s="91"/>
      <c r="I457" s="91"/>
      <c r="J457" s="91"/>
      <c r="K457" s="91"/>
      <c r="L457" s="91"/>
      <c r="M457" s="91"/>
      <c r="N457" s="91"/>
      <c r="O457" s="91"/>
      <c r="P457" s="91"/>
      <c r="Q457" s="457" t="s">
        <v>792</v>
      </c>
      <c r="R457" s="91"/>
      <c r="S457" s="91"/>
      <c r="T457" s="91"/>
      <c r="U457" s="91"/>
      <c r="V457" s="91"/>
      <c r="W457" s="91"/>
      <c r="X457" s="91" t="s">
        <v>927</v>
      </c>
      <c r="Y457" s="91"/>
      <c r="Z457" s="91"/>
      <c r="AA457" s="91"/>
      <c r="AB457" s="91"/>
      <c r="AC457" s="91"/>
      <c r="AD457" s="91"/>
      <c r="AE457" s="91"/>
      <c r="AF457" s="91"/>
      <c r="AG457" s="91"/>
      <c r="AH457" s="91"/>
      <c r="AI457" s="91"/>
      <c r="AJ457" s="91"/>
      <c r="AK457" s="91"/>
      <c r="AL457" s="91"/>
      <c r="AM457" s="91"/>
      <c r="AN457" s="91"/>
      <c r="AO457" s="91"/>
      <c r="AP457" s="91"/>
      <c r="AQ457" s="91"/>
      <c r="AR457" s="91"/>
      <c r="AS457" s="91"/>
      <c r="AT457" s="91"/>
      <c r="AU457" s="91"/>
      <c r="AV457" s="91"/>
      <c r="AW457" s="91"/>
      <c r="AX457" s="91"/>
      <c r="AY457" s="91"/>
      <c r="AZ457" s="91"/>
      <c r="BA457" s="91" t="s">
        <v>792</v>
      </c>
      <c r="BB457" s="426"/>
      <c r="BC457" s="426"/>
      <c r="BD457" s="91" t="s">
        <v>792</v>
      </c>
      <c r="BE457" s="91" t="s">
        <v>927</v>
      </c>
      <c r="BF457" s="426"/>
      <c r="BG457" s="426"/>
      <c r="BH457" s="426"/>
      <c r="BI457" s="426"/>
      <c r="BJ457" s="426"/>
      <c r="BK457" s="426"/>
      <c r="BL457" s="91" t="s">
        <v>792</v>
      </c>
      <c r="BM457" s="426"/>
      <c r="BN457" s="426"/>
      <c r="BO457" s="91" t="s">
        <v>792</v>
      </c>
      <c r="BP457" s="426"/>
      <c r="BQ457" s="426"/>
      <c r="BR457" s="426"/>
      <c r="BT457" s="100" t="e">
        <f t="shared" si="18"/>
        <v>#VALUE!</v>
      </c>
      <c r="BW457" s="100">
        <f t="shared" si="19"/>
        <v>0</v>
      </c>
    </row>
    <row r="458" spans="2:75" ht="14.7" hidden="1" customHeight="1" outlineLevel="1" x14ac:dyDescent="0.3">
      <c r="B458" s="425">
        <f t="shared" si="20"/>
        <v>68</v>
      </c>
      <c r="C458" s="95" t="s">
        <v>456</v>
      </c>
      <c r="D458" s="429" t="s">
        <v>796</v>
      </c>
      <c r="E458" s="429" t="s">
        <v>797</v>
      </c>
      <c r="F458" s="91"/>
      <c r="G458" s="91"/>
      <c r="H458" s="91"/>
      <c r="I458" s="91"/>
      <c r="J458" s="91"/>
      <c r="K458" s="91"/>
      <c r="L458" s="91"/>
      <c r="M458" s="91"/>
      <c r="N458" s="91"/>
      <c r="O458" s="91"/>
      <c r="P458" s="91"/>
      <c r="Q458" s="457" t="s">
        <v>792</v>
      </c>
      <c r="R458" s="91"/>
      <c r="S458" s="91"/>
      <c r="T458" s="91"/>
      <c r="U458" s="91"/>
      <c r="V458" s="91"/>
      <c r="W458" s="91"/>
      <c r="X458" s="91" t="s">
        <v>927</v>
      </c>
      <c r="Y458" s="91"/>
      <c r="Z458" s="91"/>
      <c r="AA458" s="91"/>
      <c r="AB458" s="91"/>
      <c r="AC458" s="91"/>
      <c r="AD458" s="91"/>
      <c r="AE458" s="91"/>
      <c r="AF458" s="91"/>
      <c r="AG458" s="91"/>
      <c r="AH458" s="91"/>
      <c r="AI458" s="91"/>
      <c r="AJ458" s="91"/>
      <c r="AK458" s="91"/>
      <c r="AL458" s="91"/>
      <c r="AM458" s="91"/>
      <c r="AN458" s="91"/>
      <c r="AO458" s="91"/>
      <c r="AP458" s="91"/>
      <c r="AQ458" s="91"/>
      <c r="AR458" s="91"/>
      <c r="AS458" s="91"/>
      <c r="AT458" s="91"/>
      <c r="AU458" s="91"/>
      <c r="AV458" s="91"/>
      <c r="AW458" s="91"/>
      <c r="AX458" s="91"/>
      <c r="AY458" s="91"/>
      <c r="AZ458" s="91"/>
      <c r="BA458" s="91" t="s">
        <v>792</v>
      </c>
      <c r="BB458" s="426"/>
      <c r="BC458" s="426"/>
      <c r="BD458" s="91" t="s">
        <v>792</v>
      </c>
      <c r="BE458" s="91" t="s">
        <v>927</v>
      </c>
      <c r="BF458" s="426"/>
      <c r="BG458" s="426"/>
      <c r="BH458" s="426"/>
      <c r="BI458" s="426"/>
      <c r="BJ458" s="426"/>
      <c r="BK458" s="426"/>
      <c r="BL458" s="91" t="s">
        <v>792</v>
      </c>
      <c r="BM458" s="426"/>
      <c r="BN458" s="426"/>
      <c r="BO458" s="91" t="s">
        <v>792</v>
      </c>
      <c r="BP458" s="426"/>
      <c r="BQ458" s="426"/>
      <c r="BR458" s="426"/>
      <c r="BT458" s="100" t="e">
        <f t="shared" si="18"/>
        <v>#VALUE!</v>
      </c>
      <c r="BW458" s="100">
        <f t="shared" si="19"/>
        <v>0</v>
      </c>
    </row>
    <row r="459" spans="2:75" ht="14.7" hidden="1" customHeight="1" outlineLevel="1" x14ac:dyDescent="0.3">
      <c r="B459" s="425">
        <f t="shared" si="20"/>
        <v>69</v>
      </c>
      <c r="C459" s="95" t="s">
        <v>456</v>
      </c>
      <c r="D459" s="429" t="s">
        <v>796</v>
      </c>
      <c r="E459" s="429" t="s">
        <v>797</v>
      </c>
      <c r="F459" s="91"/>
      <c r="G459" s="91"/>
      <c r="H459" s="91"/>
      <c r="I459" s="91"/>
      <c r="J459" s="91"/>
      <c r="K459" s="91"/>
      <c r="L459" s="91"/>
      <c r="M459" s="91"/>
      <c r="N459" s="91"/>
      <c r="O459" s="91"/>
      <c r="P459" s="91"/>
      <c r="Q459" s="457" t="s">
        <v>792</v>
      </c>
      <c r="R459" s="91"/>
      <c r="S459" s="91"/>
      <c r="T459" s="91"/>
      <c r="U459" s="91"/>
      <c r="V459" s="91"/>
      <c r="W459" s="91"/>
      <c r="X459" s="91" t="s">
        <v>927</v>
      </c>
      <c r="Y459" s="91"/>
      <c r="Z459" s="91"/>
      <c r="AA459" s="91"/>
      <c r="AB459" s="91"/>
      <c r="AC459" s="91"/>
      <c r="AD459" s="91"/>
      <c r="AE459" s="91"/>
      <c r="AF459" s="91"/>
      <c r="AG459" s="91"/>
      <c r="AH459" s="91"/>
      <c r="AI459" s="91"/>
      <c r="AJ459" s="91"/>
      <c r="AK459" s="91"/>
      <c r="AL459" s="91"/>
      <c r="AM459" s="91"/>
      <c r="AN459" s="91"/>
      <c r="AO459" s="91"/>
      <c r="AP459" s="91"/>
      <c r="AQ459" s="91"/>
      <c r="AR459" s="91"/>
      <c r="AS459" s="91"/>
      <c r="AT459" s="91"/>
      <c r="AU459" s="91"/>
      <c r="AV459" s="91"/>
      <c r="AW459" s="91"/>
      <c r="AX459" s="91"/>
      <c r="AY459" s="91"/>
      <c r="AZ459" s="91"/>
      <c r="BA459" s="91" t="s">
        <v>792</v>
      </c>
      <c r="BB459" s="426"/>
      <c r="BC459" s="426"/>
      <c r="BD459" s="91" t="s">
        <v>792</v>
      </c>
      <c r="BE459" s="91" t="s">
        <v>927</v>
      </c>
      <c r="BF459" s="426"/>
      <c r="BG459" s="426"/>
      <c r="BH459" s="426"/>
      <c r="BI459" s="426"/>
      <c r="BJ459" s="426"/>
      <c r="BK459" s="426"/>
      <c r="BL459" s="91" t="s">
        <v>792</v>
      </c>
      <c r="BM459" s="426"/>
      <c r="BN459" s="426"/>
      <c r="BO459" s="91" t="s">
        <v>792</v>
      </c>
      <c r="BP459" s="426"/>
      <c r="BQ459" s="426"/>
      <c r="BR459" s="426"/>
      <c r="BT459" s="100" t="e">
        <f t="shared" si="18"/>
        <v>#VALUE!</v>
      </c>
      <c r="BW459" s="100">
        <f t="shared" si="19"/>
        <v>0</v>
      </c>
    </row>
    <row r="460" spans="2:75" ht="14.7" hidden="1" customHeight="1" outlineLevel="1" x14ac:dyDescent="0.3">
      <c r="B460" s="425">
        <f t="shared" si="20"/>
        <v>70</v>
      </c>
      <c r="C460" s="95" t="s">
        <v>456</v>
      </c>
      <c r="D460" s="429" t="s">
        <v>796</v>
      </c>
      <c r="E460" s="429" t="s">
        <v>797</v>
      </c>
      <c r="F460" s="91"/>
      <c r="G460" s="91"/>
      <c r="H460" s="91"/>
      <c r="I460" s="91"/>
      <c r="J460" s="91"/>
      <c r="K460" s="91"/>
      <c r="L460" s="91"/>
      <c r="M460" s="91"/>
      <c r="N460" s="91"/>
      <c r="O460" s="91"/>
      <c r="P460" s="91"/>
      <c r="Q460" s="457" t="s">
        <v>792</v>
      </c>
      <c r="R460" s="91"/>
      <c r="S460" s="91"/>
      <c r="T460" s="91"/>
      <c r="U460" s="91"/>
      <c r="V460" s="91"/>
      <c r="W460" s="91"/>
      <c r="X460" s="91" t="s">
        <v>927</v>
      </c>
      <c r="Y460" s="91"/>
      <c r="Z460" s="91"/>
      <c r="AA460" s="91"/>
      <c r="AB460" s="91"/>
      <c r="AC460" s="91"/>
      <c r="AD460" s="91"/>
      <c r="AE460" s="91"/>
      <c r="AF460" s="91"/>
      <c r="AG460" s="91"/>
      <c r="AH460" s="91"/>
      <c r="AI460" s="91"/>
      <c r="AJ460" s="91"/>
      <c r="AK460" s="91"/>
      <c r="AL460" s="91"/>
      <c r="AM460" s="91"/>
      <c r="AN460" s="91"/>
      <c r="AO460" s="91"/>
      <c r="AP460" s="91"/>
      <c r="AQ460" s="91"/>
      <c r="AR460" s="91"/>
      <c r="AS460" s="91"/>
      <c r="AT460" s="91"/>
      <c r="AU460" s="91"/>
      <c r="AV460" s="91"/>
      <c r="AW460" s="91"/>
      <c r="AX460" s="91"/>
      <c r="AY460" s="91"/>
      <c r="AZ460" s="91"/>
      <c r="BA460" s="91" t="s">
        <v>792</v>
      </c>
      <c r="BB460" s="426"/>
      <c r="BC460" s="426"/>
      <c r="BD460" s="91" t="s">
        <v>792</v>
      </c>
      <c r="BE460" s="91" t="s">
        <v>927</v>
      </c>
      <c r="BF460" s="426"/>
      <c r="BG460" s="426"/>
      <c r="BH460" s="426"/>
      <c r="BI460" s="426"/>
      <c r="BJ460" s="426"/>
      <c r="BK460" s="426"/>
      <c r="BL460" s="91" t="s">
        <v>792</v>
      </c>
      <c r="BM460" s="426"/>
      <c r="BN460" s="426"/>
      <c r="BO460" s="91" t="s">
        <v>792</v>
      </c>
      <c r="BP460" s="426"/>
      <c r="BQ460" s="426"/>
      <c r="BR460" s="426"/>
      <c r="BT460" s="100" t="e">
        <f t="shared" si="18"/>
        <v>#VALUE!</v>
      </c>
      <c r="BW460" s="100">
        <f t="shared" si="19"/>
        <v>0</v>
      </c>
    </row>
    <row r="461" spans="2:75" ht="14.7" hidden="1" customHeight="1" outlineLevel="1" x14ac:dyDescent="0.3">
      <c r="B461" s="425">
        <f t="shared" si="20"/>
        <v>71</v>
      </c>
      <c r="C461" s="95" t="s">
        <v>456</v>
      </c>
      <c r="D461" s="429" t="s">
        <v>796</v>
      </c>
      <c r="E461" s="429" t="s">
        <v>797</v>
      </c>
      <c r="F461" s="91"/>
      <c r="G461" s="91"/>
      <c r="H461" s="91"/>
      <c r="I461" s="91"/>
      <c r="J461" s="91"/>
      <c r="K461" s="91"/>
      <c r="L461" s="91"/>
      <c r="M461" s="91"/>
      <c r="N461" s="91"/>
      <c r="O461" s="91"/>
      <c r="P461" s="91"/>
      <c r="Q461" s="457" t="s">
        <v>792</v>
      </c>
      <c r="R461" s="91"/>
      <c r="S461" s="91"/>
      <c r="T461" s="91"/>
      <c r="U461" s="91"/>
      <c r="V461" s="91"/>
      <c r="W461" s="91"/>
      <c r="X461" s="91" t="s">
        <v>927</v>
      </c>
      <c r="Y461" s="91"/>
      <c r="Z461" s="91"/>
      <c r="AA461" s="91"/>
      <c r="AB461" s="91"/>
      <c r="AC461" s="91"/>
      <c r="AD461" s="91"/>
      <c r="AE461" s="91"/>
      <c r="AF461" s="91"/>
      <c r="AG461" s="91"/>
      <c r="AH461" s="91"/>
      <c r="AI461" s="91"/>
      <c r="AJ461" s="91"/>
      <c r="AK461" s="91"/>
      <c r="AL461" s="91"/>
      <c r="AM461" s="91"/>
      <c r="AN461" s="91"/>
      <c r="AO461" s="91"/>
      <c r="AP461" s="91"/>
      <c r="AQ461" s="91"/>
      <c r="AR461" s="91"/>
      <c r="AS461" s="91"/>
      <c r="AT461" s="91"/>
      <c r="AU461" s="91"/>
      <c r="AV461" s="91"/>
      <c r="AW461" s="91"/>
      <c r="AX461" s="91"/>
      <c r="AY461" s="91"/>
      <c r="AZ461" s="91"/>
      <c r="BA461" s="91" t="s">
        <v>792</v>
      </c>
      <c r="BB461" s="426"/>
      <c r="BC461" s="426"/>
      <c r="BD461" s="91" t="s">
        <v>792</v>
      </c>
      <c r="BE461" s="91" t="s">
        <v>927</v>
      </c>
      <c r="BF461" s="426"/>
      <c r="BG461" s="426"/>
      <c r="BH461" s="426"/>
      <c r="BI461" s="426"/>
      <c r="BJ461" s="426"/>
      <c r="BK461" s="426"/>
      <c r="BL461" s="91" t="s">
        <v>792</v>
      </c>
      <c r="BM461" s="426"/>
      <c r="BN461" s="426"/>
      <c r="BO461" s="91" t="s">
        <v>792</v>
      </c>
      <c r="BP461" s="426"/>
      <c r="BQ461" s="426"/>
      <c r="BR461" s="426"/>
      <c r="BT461" s="100" t="e">
        <f t="shared" si="18"/>
        <v>#VALUE!</v>
      </c>
      <c r="BW461" s="100">
        <f t="shared" si="19"/>
        <v>0</v>
      </c>
    </row>
    <row r="462" spans="2:75" ht="14.7" hidden="1" customHeight="1" outlineLevel="1" x14ac:dyDescent="0.3">
      <c r="B462" s="425">
        <f t="shared" si="20"/>
        <v>72</v>
      </c>
      <c r="C462" s="95" t="s">
        <v>456</v>
      </c>
      <c r="D462" s="429" t="s">
        <v>796</v>
      </c>
      <c r="E462" s="429" t="s">
        <v>797</v>
      </c>
      <c r="F462" s="91"/>
      <c r="G462" s="91"/>
      <c r="H462" s="91"/>
      <c r="I462" s="91"/>
      <c r="J462" s="91"/>
      <c r="K462" s="91"/>
      <c r="L462" s="91"/>
      <c r="M462" s="91"/>
      <c r="N462" s="91"/>
      <c r="O462" s="91"/>
      <c r="P462" s="91"/>
      <c r="Q462" s="457" t="s">
        <v>792</v>
      </c>
      <c r="R462" s="91"/>
      <c r="S462" s="91"/>
      <c r="T462" s="91"/>
      <c r="U462" s="91"/>
      <c r="V462" s="91"/>
      <c r="W462" s="91"/>
      <c r="X462" s="91" t="s">
        <v>927</v>
      </c>
      <c r="Y462" s="91"/>
      <c r="Z462" s="91"/>
      <c r="AA462" s="91"/>
      <c r="AB462" s="91"/>
      <c r="AC462" s="91"/>
      <c r="AD462" s="91"/>
      <c r="AE462" s="91"/>
      <c r="AF462" s="91"/>
      <c r="AG462" s="91"/>
      <c r="AH462" s="91"/>
      <c r="AI462" s="91"/>
      <c r="AJ462" s="91"/>
      <c r="AK462" s="91"/>
      <c r="AL462" s="91"/>
      <c r="AM462" s="91"/>
      <c r="AN462" s="91"/>
      <c r="AO462" s="91"/>
      <c r="AP462" s="91"/>
      <c r="AQ462" s="91"/>
      <c r="AR462" s="91"/>
      <c r="AS462" s="91"/>
      <c r="AT462" s="91"/>
      <c r="AU462" s="91"/>
      <c r="AV462" s="91"/>
      <c r="AW462" s="91"/>
      <c r="AX462" s="91"/>
      <c r="AY462" s="91"/>
      <c r="AZ462" s="91"/>
      <c r="BA462" s="91" t="s">
        <v>792</v>
      </c>
      <c r="BB462" s="426"/>
      <c r="BC462" s="426"/>
      <c r="BD462" s="91" t="s">
        <v>792</v>
      </c>
      <c r="BE462" s="91" t="s">
        <v>927</v>
      </c>
      <c r="BF462" s="426"/>
      <c r="BG462" s="426"/>
      <c r="BH462" s="426"/>
      <c r="BI462" s="426"/>
      <c r="BJ462" s="426"/>
      <c r="BK462" s="426"/>
      <c r="BL462" s="91" t="s">
        <v>792</v>
      </c>
      <c r="BM462" s="426"/>
      <c r="BN462" s="426"/>
      <c r="BO462" s="91" t="s">
        <v>792</v>
      </c>
      <c r="BP462" s="426"/>
      <c r="BQ462" s="426"/>
      <c r="BR462" s="426"/>
      <c r="BT462" s="100" t="e">
        <f t="shared" si="18"/>
        <v>#VALUE!</v>
      </c>
      <c r="BW462" s="100">
        <f t="shared" si="19"/>
        <v>0</v>
      </c>
    </row>
    <row r="463" spans="2:75" ht="14.7" hidden="1" customHeight="1" outlineLevel="1" x14ac:dyDescent="0.3">
      <c r="B463" s="425">
        <f t="shared" si="20"/>
        <v>73</v>
      </c>
      <c r="C463" s="95" t="s">
        <v>456</v>
      </c>
      <c r="D463" s="429" t="s">
        <v>796</v>
      </c>
      <c r="E463" s="429" t="s">
        <v>797</v>
      </c>
      <c r="F463" s="91"/>
      <c r="G463" s="91"/>
      <c r="H463" s="91"/>
      <c r="I463" s="91"/>
      <c r="J463" s="91"/>
      <c r="K463" s="91"/>
      <c r="L463" s="91"/>
      <c r="M463" s="91"/>
      <c r="N463" s="91"/>
      <c r="O463" s="91"/>
      <c r="P463" s="91"/>
      <c r="Q463" s="457" t="s">
        <v>792</v>
      </c>
      <c r="R463" s="91"/>
      <c r="S463" s="91"/>
      <c r="T463" s="91"/>
      <c r="U463" s="91"/>
      <c r="V463" s="91"/>
      <c r="W463" s="91"/>
      <c r="X463" s="91" t="s">
        <v>927</v>
      </c>
      <c r="Y463" s="91"/>
      <c r="Z463" s="91"/>
      <c r="AA463" s="91"/>
      <c r="AB463" s="91"/>
      <c r="AC463" s="91"/>
      <c r="AD463" s="91"/>
      <c r="AE463" s="91"/>
      <c r="AF463" s="91"/>
      <c r="AG463" s="91"/>
      <c r="AH463" s="91"/>
      <c r="AI463" s="91"/>
      <c r="AJ463" s="91"/>
      <c r="AK463" s="91"/>
      <c r="AL463" s="91"/>
      <c r="AM463" s="91"/>
      <c r="AN463" s="91"/>
      <c r="AO463" s="91"/>
      <c r="AP463" s="91"/>
      <c r="AQ463" s="91"/>
      <c r="AR463" s="91"/>
      <c r="AS463" s="91"/>
      <c r="AT463" s="91"/>
      <c r="AU463" s="91"/>
      <c r="AV463" s="91"/>
      <c r="AW463" s="91"/>
      <c r="AX463" s="91"/>
      <c r="AY463" s="91"/>
      <c r="AZ463" s="91"/>
      <c r="BA463" s="91" t="s">
        <v>792</v>
      </c>
      <c r="BB463" s="426"/>
      <c r="BC463" s="426"/>
      <c r="BD463" s="91" t="s">
        <v>792</v>
      </c>
      <c r="BE463" s="91" t="s">
        <v>927</v>
      </c>
      <c r="BF463" s="426"/>
      <c r="BG463" s="426"/>
      <c r="BH463" s="426"/>
      <c r="BI463" s="426"/>
      <c r="BJ463" s="426"/>
      <c r="BK463" s="426"/>
      <c r="BL463" s="91" t="s">
        <v>792</v>
      </c>
      <c r="BM463" s="426"/>
      <c r="BN463" s="426"/>
      <c r="BO463" s="91" t="s">
        <v>792</v>
      </c>
      <c r="BP463" s="426"/>
      <c r="BQ463" s="426"/>
      <c r="BR463" s="426"/>
      <c r="BT463" s="100" t="e">
        <f t="shared" si="18"/>
        <v>#VALUE!</v>
      </c>
      <c r="BW463" s="100">
        <f t="shared" si="19"/>
        <v>0</v>
      </c>
    </row>
    <row r="464" spans="2:75" ht="14.7" hidden="1" customHeight="1" outlineLevel="1" x14ac:dyDescent="0.3">
      <c r="B464" s="425">
        <f t="shared" si="20"/>
        <v>74</v>
      </c>
      <c r="C464" s="95" t="s">
        <v>456</v>
      </c>
      <c r="D464" s="429" t="s">
        <v>796</v>
      </c>
      <c r="E464" s="429" t="s">
        <v>797</v>
      </c>
      <c r="F464" s="91"/>
      <c r="G464" s="91"/>
      <c r="H464" s="91"/>
      <c r="I464" s="91"/>
      <c r="J464" s="91"/>
      <c r="K464" s="91"/>
      <c r="L464" s="91"/>
      <c r="M464" s="91"/>
      <c r="N464" s="91"/>
      <c r="O464" s="91"/>
      <c r="P464" s="91"/>
      <c r="Q464" s="457" t="s">
        <v>792</v>
      </c>
      <c r="R464" s="91"/>
      <c r="S464" s="91"/>
      <c r="T464" s="91"/>
      <c r="U464" s="91"/>
      <c r="V464" s="91"/>
      <c r="W464" s="91"/>
      <c r="X464" s="91" t="s">
        <v>927</v>
      </c>
      <c r="Y464" s="91"/>
      <c r="Z464" s="91"/>
      <c r="AA464" s="91"/>
      <c r="AB464" s="91"/>
      <c r="AC464" s="91"/>
      <c r="AD464" s="91"/>
      <c r="AE464" s="91"/>
      <c r="AF464" s="91"/>
      <c r="AG464" s="91"/>
      <c r="AH464" s="91"/>
      <c r="AI464" s="91"/>
      <c r="AJ464" s="91"/>
      <c r="AK464" s="91"/>
      <c r="AL464" s="91"/>
      <c r="AM464" s="91"/>
      <c r="AN464" s="91"/>
      <c r="AO464" s="91"/>
      <c r="AP464" s="91"/>
      <c r="AQ464" s="91"/>
      <c r="AR464" s="91"/>
      <c r="AS464" s="91"/>
      <c r="AT464" s="91"/>
      <c r="AU464" s="91"/>
      <c r="AV464" s="91"/>
      <c r="AW464" s="91"/>
      <c r="AX464" s="91"/>
      <c r="AY464" s="91"/>
      <c r="AZ464" s="91"/>
      <c r="BA464" s="91" t="s">
        <v>792</v>
      </c>
      <c r="BB464" s="426"/>
      <c r="BC464" s="426"/>
      <c r="BD464" s="91" t="s">
        <v>792</v>
      </c>
      <c r="BE464" s="91" t="s">
        <v>927</v>
      </c>
      <c r="BF464" s="426"/>
      <c r="BG464" s="426"/>
      <c r="BH464" s="426"/>
      <c r="BI464" s="426"/>
      <c r="BJ464" s="426"/>
      <c r="BK464" s="426"/>
      <c r="BL464" s="91" t="s">
        <v>792</v>
      </c>
      <c r="BM464" s="426"/>
      <c r="BN464" s="426"/>
      <c r="BO464" s="91" t="s">
        <v>792</v>
      </c>
      <c r="BP464" s="426"/>
      <c r="BQ464" s="426"/>
      <c r="BR464" s="426"/>
      <c r="BT464" s="100" t="e">
        <f t="shared" si="18"/>
        <v>#VALUE!</v>
      </c>
      <c r="BW464" s="100">
        <f t="shared" si="19"/>
        <v>0</v>
      </c>
    </row>
    <row r="465" spans="1:116" ht="14.7" hidden="1" customHeight="1" outlineLevel="1" x14ac:dyDescent="0.3">
      <c r="B465" s="425">
        <f t="shared" si="20"/>
        <v>75</v>
      </c>
      <c r="C465" s="95" t="s">
        <v>456</v>
      </c>
      <c r="D465" s="429" t="s">
        <v>796</v>
      </c>
      <c r="E465" s="429" t="s">
        <v>797</v>
      </c>
      <c r="F465" s="91"/>
      <c r="G465" s="91"/>
      <c r="H465" s="91"/>
      <c r="I465" s="91"/>
      <c r="J465" s="91"/>
      <c r="K465" s="91"/>
      <c r="L465" s="91"/>
      <c r="M465" s="91"/>
      <c r="N465" s="91"/>
      <c r="O465" s="91"/>
      <c r="P465" s="91"/>
      <c r="Q465" s="457" t="s">
        <v>792</v>
      </c>
      <c r="R465" s="91"/>
      <c r="S465" s="91"/>
      <c r="T465" s="91"/>
      <c r="U465" s="91"/>
      <c r="V465" s="91"/>
      <c r="W465" s="91"/>
      <c r="X465" s="91" t="s">
        <v>927</v>
      </c>
      <c r="Y465" s="91"/>
      <c r="Z465" s="91"/>
      <c r="AA465" s="91"/>
      <c r="AB465" s="91"/>
      <c r="AC465" s="91"/>
      <c r="AD465" s="91"/>
      <c r="AE465" s="91"/>
      <c r="AF465" s="91"/>
      <c r="AG465" s="91"/>
      <c r="AH465" s="91"/>
      <c r="AI465" s="91"/>
      <c r="AJ465" s="91"/>
      <c r="AK465" s="91"/>
      <c r="AL465" s="91"/>
      <c r="AM465" s="91"/>
      <c r="AN465" s="91"/>
      <c r="AO465" s="91"/>
      <c r="AP465" s="91"/>
      <c r="AQ465" s="91"/>
      <c r="AR465" s="91"/>
      <c r="AS465" s="91"/>
      <c r="AT465" s="91"/>
      <c r="AU465" s="91"/>
      <c r="AV465" s="91"/>
      <c r="AW465" s="91"/>
      <c r="AX465" s="91"/>
      <c r="AY465" s="91"/>
      <c r="AZ465" s="91"/>
      <c r="BA465" s="91" t="s">
        <v>792</v>
      </c>
      <c r="BB465" s="426"/>
      <c r="BC465" s="426"/>
      <c r="BD465" s="91" t="s">
        <v>792</v>
      </c>
      <c r="BE465" s="91" t="s">
        <v>927</v>
      </c>
      <c r="BF465" s="426"/>
      <c r="BG465" s="426"/>
      <c r="BH465" s="426"/>
      <c r="BI465" s="426"/>
      <c r="BJ465" s="426"/>
      <c r="BK465" s="426"/>
      <c r="BL465" s="91" t="s">
        <v>792</v>
      </c>
      <c r="BM465" s="426"/>
      <c r="BN465" s="426"/>
      <c r="BO465" s="91" t="s">
        <v>792</v>
      </c>
      <c r="BP465" s="426"/>
      <c r="BQ465" s="426"/>
      <c r="BR465" s="426"/>
      <c r="BT465" s="100" t="e">
        <f t="shared" si="18"/>
        <v>#VALUE!</v>
      </c>
      <c r="BW465" s="100">
        <f t="shared" si="19"/>
        <v>0</v>
      </c>
    </row>
    <row r="466" spans="1:116" ht="14.7" hidden="1" customHeight="1" outlineLevel="1" x14ac:dyDescent="0.3">
      <c r="B466" s="425">
        <f t="shared" si="20"/>
        <v>76</v>
      </c>
      <c r="C466" s="95" t="s">
        <v>456</v>
      </c>
      <c r="D466" s="429" t="s">
        <v>796</v>
      </c>
      <c r="E466" s="429" t="s">
        <v>797</v>
      </c>
      <c r="F466" s="91"/>
      <c r="G466" s="91"/>
      <c r="H466" s="91"/>
      <c r="I466" s="91"/>
      <c r="J466" s="91"/>
      <c r="K466" s="91"/>
      <c r="L466" s="91"/>
      <c r="M466" s="91"/>
      <c r="N466" s="91"/>
      <c r="O466" s="91"/>
      <c r="P466" s="91"/>
      <c r="Q466" s="457" t="s">
        <v>792</v>
      </c>
      <c r="R466" s="91"/>
      <c r="S466" s="91"/>
      <c r="T466" s="91"/>
      <c r="U466" s="91"/>
      <c r="V466" s="91"/>
      <c r="W466" s="91"/>
      <c r="X466" s="91" t="s">
        <v>927</v>
      </c>
      <c r="Y466" s="91"/>
      <c r="Z466" s="91"/>
      <c r="AA466" s="91"/>
      <c r="AB466" s="91"/>
      <c r="AC466" s="91"/>
      <c r="AD466" s="91"/>
      <c r="AE466" s="91"/>
      <c r="AF466" s="91"/>
      <c r="AG466" s="91"/>
      <c r="AH466" s="91"/>
      <c r="AI466" s="91"/>
      <c r="AJ466" s="91"/>
      <c r="AK466" s="91"/>
      <c r="AL466" s="91"/>
      <c r="AM466" s="91"/>
      <c r="AN466" s="91"/>
      <c r="AO466" s="91"/>
      <c r="AP466" s="91"/>
      <c r="AQ466" s="91"/>
      <c r="AR466" s="91"/>
      <c r="AS466" s="91"/>
      <c r="AT466" s="91"/>
      <c r="AU466" s="91"/>
      <c r="AV466" s="91"/>
      <c r="AW466" s="91"/>
      <c r="AX466" s="91"/>
      <c r="AY466" s="91"/>
      <c r="AZ466" s="91"/>
      <c r="BA466" s="91" t="s">
        <v>792</v>
      </c>
      <c r="BB466" s="426"/>
      <c r="BC466" s="426"/>
      <c r="BD466" s="91" t="s">
        <v>792</v>
      </c>
      <c r="BE466" s="91" t="s">
        <v>927</v>
      </c>
      <c r="BF466" s="426"/>
      <c r="BG466" s="426"/>
      <c r="BH466" s="426"/>
      <c r="BI466" s="426"/>
      <c r="BJ466" s="426"/>
      <c r="BK466" s="426"/>
      <c r="BL466" s="91" t="s">
        <v>792</v>
      </c>
      <c r="BM466" s="426"/>
      <c r="BN466" s="426"/>
      <c r="BO466" s="91" t="s">
        <v>792</v>
      </c>
      <c r="BP466" s="426"/>
      <c r="BQ466" s="426"/>
      <c r="BR466" s="426"/>
      <c r="BT466" s="100" t="e">
        <f t="shared" si="18"/>
        <v>#VALUE!</v>
      </c>
      <c r="BW466" s="100">
        <f t="shared" si="19"/>
        <v>0</v>
      </c>
    </row>
    <row r="467" spans="1:116" ht="14.4" hidden="1" x14ac:dyDescent="0.3">
      <c r="B467" s="425">
        <f t="shared" si="20"/>
        <v>77</v>
      </c>
      <c r="C467" s="95" t="s">
        <v>456</v>
      </c>
      <c r="D467" s="429" t="s">
        <v>796</v>
      </c>
      <c r="E467" s="429" t="s">
        <v>797</v>
      </c>
      <c r="F467" s="91"/>
      <c r="G467" s="91"/>
      <c r="H467" s="91"/>
      <c r="I467" s="91"/>
      <c r="J467" s="91"/>
      <c r="K467" s="91"/>
      <c r="L467" s="91"/>
      <c r="M467" s="91"/>
      <c r="N467" s="91"/>
      <c r="O467" s="91"/>
      <c r="P467" s="91"/>
      <c r="Q467" s="457" t="s">
        <v>792</v>
      </c>
      <c r="R467" s="91"/>
      <c r="S467" s="91"/>
      <c r="T467" s="91"/>
      <c r="U467" s="91"/>
      <c r="V467" s="91"/>
      <c r="W467" s="91"/>
      <c r="X467" s="91" t="s">
        <v>927</v>
      </c>
      <c r="Y467" s="91"/>
      <c r="Z467" s="91"/>
      <c r="AA467" s="91"/>
      <c r="AB467" s="91"/>
      <c r="AC467" s="91"/>
      <c r="AD467" s="91"/>
      <c r="AE467" s="91"/>
      <c r="AF467" s="91"/>
      <c r="AG467" s="91"/>
      <c r="AH467" s="91"/>
      <c r="AI467" s="91"/>
      <c r="AJ467" s="91"/>
      <c r="AK467" s="91"/>
      <c r="AL467" s="91"/>
      <c r="AM467" s="91"/>
      <c r="AN467" s="91"/>
      <c r="AO467" s="91"/>
      <c r="AP467" s="91"/>
      <c r="AQ467" s="91"/>
      <c r="AR467" s="91"/>
      <c r="AS467" s="91"/>
      <c r="AT467" s="91"/>
      <c r="AU467" s="91"/>
      <c r="AV467" s="91"/>
      <c r="AW467" s="91"/>
      <c r="AX467" s="91"/>
      <c r="AY467" s="91"/>
      <c r="AZ467" s="91"/>
      <c r="BA467" s="91" t="s">
        <v>792</v>
      </c>
      <c r="BB467" s="426"/>
      <c r="BC467" s="426"/>
      <c r="BD467" s="91" t="s">
        <v>792</v>
      </c>
      <c r="BE467" s="91" t="s">
        <v>927</v>
      </c>
      <c r="BF467" s="426"/>
      <c r="BG467" s="426"/>
      <c r="BH467" s="426"/>
      <c r="BI467" s="426"/>
      <c r="BJ467" s="426"/>
      <c r="BK467" s="426"/>
      <c r="BL467" s="91" t="s">
        <v>792</v>
      </c>
      <c r="BM467" s="426"/>
      <c r="BN467" s="426"/>
      <c r="BO467" s="91" t="s">
        <v>792</v>
      </c>
      <c r="BP467" s="426"/>
      <c r="BQ467" s="426"/>
      <c r="BR467" s="426"/>
      <c r="BT467" s="100" t="e">
        <f t="shared" si="18"/>
        <v>#VALUE!</v>
      </c>
      <c r="BW467" s="100">
        <f t="shared" si="19"/>
        <v>0</v>
      </c>
    </row>
    <row r="468" spans="1:116" ht="12" x14ac:dyDescent="0.2">
      <c r="C468" s="129" t="s">
        <v>1054</v>
      </c>
      <c r="D468" s="103"/>
      <c r="E468" s="103"/>
      <c r="V468" t="s">
        <v>954</v>
      </c>
      <c r="Y468" t="s">
        <v>954</v>
      </c>
      <c r="AB468" t="s">
        <v>954</v>
      </c>
      <c r="AE468" t="s">
        <v>954</v>
      </c>
      <c r="AG468" t="s">
        <v>955</v>
      </c>
    </row>
    <row r="469" spans="1:116" x14ac:dyDescent="0.2">
      <c r="C469" s="252" t="s">
        <v>956</v>
      </c>
      <c r="V469" t="s">
        <v>957</v>
      </c>
      <c r="Y469" t="s">
        <v>957</v>
      </c>
      <c r="AB469" t="s">
        <v>957</v>
      </c>
      <c r="AE469" t="s">
        <v>957</v>
      </c>
    </row>
    <row r="470" spans="1:116" ht="12" x14ac:dyDescent="0.2">
      <c r="C470" t="s">
        <v>798</v>
      </c>
      <c r="AT470" s="458"/>
      <c r="AU470" s="458"/>
      <c r="AV470" s="458"/>
      <c r="AW470" s="458"/>
      <c r="AX470" s="458"/>
      <c r="AY470" s="458"/>
      <c r="AZ470" s="458"/>
    </row>
    <row r="473" spans="1:116" x14ac:dyDescent="0.2">
      <c r="C473" s="252"/>
      <c r="D473" s="252"/>
      <c r="E473" s="252"/>
    </row>
    <row r="474" spans="1:116" ht="15.6" x14ac:dyDescent="0.2">
      <c r="A474" s="412">
        <f>1+A276</f>
        <v>3</v>
      </c>
      <c r="B474" s="412" t="s">
        <v>962</v>
      </c>
      <c r="C474" s="412"/>
      <c r="D474" s="413"/>
      <c r="E474" s="413"/>
      <c r="F474" s="413"/>
      <c r="G474" s="413"/>
      <c r="H474" s="413"/>
      <c r="I474" s="413"/>
      <c r="J474" s="413"/>
      <c r="K474" s="413"/>
      <c r="L474" s="413"/>
      <c r="M474" s="413"/>
      <c r="N474" s="413"/>
      <c r="O474" s="413"/>
      <c r="P474" s="413"/>
      <c r="Q474" s="413"/>
      <c r="R474" s="413"/>
      <c r="S474" s="413"/>
      <c r="T474" s="413"/>
      <c r="U474" s="413"/>
      <c r="V474" s="413"/>
      <c r="W474" s="413"/>
      <c r="X474" s="413"/>
      <c r="Y474" s="413"/>
      <c r="Z474" s="413"/>
      <c r="AA474" s="413"/>
      <c r="AB474" s="413"/>
      <c r="AC474" s="413"/>
      <c r="AD474" s="413"/>
      <c r="AE474" s="413"/>
      <c r="AF474" s="413"/>
      <c r="AG474" s="413"/>
      <c r="AH474" s="413"/>
      <c r="AI474" s="413"/>
      <c r="AJ474" s="413"/>
      <c r="AK474" s="413"/>
      <c r="AL474" s="413"/>
      <c r="AM474" s="413"/>
      <c r="AN474" s="413"/>
      <c r="AO474" s="413"/>
      <c r="AP474" s="413"/>
      <c r="AQ474" s="413"/>
      <c r="AR474" s="413"/>
      <c r="AS474" s="413"/>
      <c r="AT474" s="413"/>
      <c r="AU474" s="413"/>
      <c r="AV474" s="413"/>
      <c r="AW474" s="413"/>
      <c r="AX474" s="413"/>
      <c r="AY474" s="413"/>
      <c r="AZ474" s="413"/>
      <c r="BA474" s="413"/>
      <c r="BB474" s="413"/>
      <c r="BC474" s="413"/>
      <c r="BD474" s="413"/>
      <c r="BE474" s="413"/>
      <c r="BF474" s="413"/>
      <c r="BG474" s="413"/>
      <c r="BH474" s="413"/>
      <c r="BI474" s="413"/>
      <c r="BJ474" s="413"/>
      <c r="BK474" s="413"/>
      <c r="BL474" s="413"/>
      <c r="BM474" s="413"/>
      <c r="BN474" s="413"/>
      <c r="BO474" s="413"/>
      <c r="BP474" s="413"/>
      <c r="BQ474" s="413"/>
      <c r="BR474" s="413"/>
      <c r="BS474" s="413"/>
      <c r="BT474" s="413"/>
      <c r="BU474" s="413"/>
      <c r="BV474" s="413"/>
      <c r="BW474" s="413"/>
      <c r="BX474" s="413"/>
      <c r="BY474" s="413"/>
      <c r="BZ474" s="413"/>
      <c r="CA474" s="413"/>
      <c r="CB474" s="413"/>
      <c r="CC474" s="413"/>
      <c r="CD474" s="413"/>
      <c r="CE474" s="413"/>
      <c r="CF474" s="413"/>
      <c r="CG474" s="413"/>
      <c r="CH474" s="413"/>
      <c r="CI474" s="413"/>
      <c r="CJ474" s="413"/>
      <c r="CK474" s="413"/>
      <c r="CL474" s="413"/>
      <c r="CM474" s="413"/>
      <c r="CN474" s="413"/>
      <c r="CO474" s="413"/>
      <c r="CP474" s="413"/>
      <c r="CQ474" s="413"/>
      <c r="CR474" s="413"/>
      <c r="CS474" s="413"/>
      <c r="CT474" s="413"/>
      <c r="CU474" s="413"/>
      <c r="CV474" s="413"/>
      <c r="CW474" s="413"/>
      <c r="CX474" s="413"/>
      <c r="CY474" s="413"/>
      <c r="CZ474" s="413"/>
      <c r="DA474" s="413"/>
      <c r="DB474" s="413"/>
      <c r="DC474" s="413"/>
      <c r="DD474" s="413"/>
      <c r="DE474" s="413"/>
      <c r="DF474" s="413"/>
      <c r="DG474" s="413"/>
      <c r="DH474" s="413"/>
      <c r="DI474" s="413"/>
      <c r="DJ474" s="413"/>
      <c r="DK474" s="413"/>
      <c r="DL474" s="413"/>
    </row>
    <row r="475" spans="1:116" x14ac:dyDescent="0.2">
      <c r="A475" s="252"/>
      <c r="B475" s="252"/>
      <c r="C475" s="252"/>
      <c r="D475" s="252"/>
      <c r="E475" s="252"/>
      <c r="F475" s="252"/>
      <c r="G475" s="252"/>
      <c r="H475" s="252"/>
      <c r="I475" s="252"/>
      <c r="J475" s="252"/>
      <c r="K475" s="252"/>
    </row>
    <row r="476" spans="1:116" ht="15.6" x14ac:dyDescent="0.2">
      <c r="B476" s="252"/>
      <c r="C476" s="9" t="s">
        <v>963</v>
      </c>
      <c r="D476" s="252"/>
      <c r="E476" s="252"/>
      <c r="F476" s="252"/>
      <c r="G476" s="252"/>
      <c r="H476" s="252"/>
      <c r="I476" s="252"/>
      <c r="J476" s="252"/>
      <c r="K476" s="252"/>
      <c r="L476" s="252"/>
      <c r="U476" s="252"/>
      <c r="V476" s="9"/>
      <c r="W476" s="9"/>
      <c r="X476" s="9"/>
      <c r="Y476" s="9"/>
      <c r="Z476" s="9"/>
      <c r="AA476" s="9"/>
      <c r="AB476" s="9"/>
      <c r="AC476" s="9"/>
      <c r="AD476" s="9"/>
      <c r="AE476" s="252"/>
      <c r="AF476" s="252"/>
      <c r="AG476" s="252"/>
      <c r="AH476" s="252"/>
      <c r="AI476" s="252"/>
      <c r="AJ476" s="252"/>
      <c r="AK476" s="252"/>
      <c r="AL476" s="252"/>
      <c r="AM476" s="252"/>
      <c r="AN476" s="252"/>
    </row>
    <row r="477" spans="1:116" x14ac:dyDescent="0.2">
      <c r="B477" s="252"/>
      <c r="C477" s="460" t="s">
        <v>1023</v>
      </c>
      <c r="D477" s="103"/>
      <c r="E477" s="103"/>
      <c r="F477" s="252"/>
      <c r="G477" s="252"/>
      <c r="H477" s="252"/>
      <c r="I477" s="252"/>
      <c r="J477" s="252"/>
      <c r="K477" s="252"/>
      <c r="L477" s="252"/>
    </row>
    <row r="478" spans="1:116" x14ac:dyDescent="0.2">
      <c r="B478" s="252"/>
      <c r="C478" s="460" t="s">
        <v>1055</v>
      </c>
      <c r="D478" s="103"/>
      <c r="E478" s="103"/>
      <c r="F478" s="252"/>
      <c r="G478" s="252"/>
      <c r="H478" s="252"/>
      <c r="I478" s="252"/>
      <c r="J478" s="252"/>
      <c r="K478" s="252"/>
      <c r="L478" s="252"/>
    </row>
    <row r="479" spans="1:116" x14ac:dyDescent="0.2">
      <c r="A479">
        <v>1</v>
      </c>
      <c r="B479" s="252">
        <v>2</v>
      </c>
      <c r="C479" s="252">
        <f>B479+1</f>
        <v>3</v>
      </c>
      <c r="D479" s="252">
        <f t="shared" ref="D479:M479" si="21">C479+1</f>
        <v>4</v>
      </c>
      <c r="E479" s="252">
        <f t="shared" si="21"/>
        <v>5</v>
      </c>
      <c r="F479" s="252">
        <f t="shared" si="21"/>
        <v>6</v>
      </c>
      <c r="G479" s="252">
        <f t="shared" si="21"/>
        <v>7</v>
      </c>
      <c r="H479" s="252">
        <f t="shared" si="21"/>
        <v>8</v>
      </c>
      <c r="I479" s="252">
        <f t="shared" si="21"/>
        <v>9</v>
      </c>
      <c r="J479" s="252">
        <f t="shared" si="21"/>
        <v>10</v>
      </c>
      <c r="K479" s="252">
        <f t="shared" si="21"/>
        <v>11</v>
      </c>
      <c r="L479" s="252">
        <f t="shared" si="21"/>
        <v>12</v>
      </c>
      <c r="M479" s="252">
        <f t="shared" si="21"/>
        <v>13</v>
      </c>
    </row>
    <row r="480" spans="1:116" ht="12" x14ac:dyDescent="0.2">
      <c r="B480" s="252"/>
      <c r="C480" s="555" t="s">
        <v>456</v>
      </c>
      <c r="D480" s="555" t="s">
        <v>457</v>
      </c>
      <c r="E480" s="555" t="s">
        <v>458</v>
      </c>
      <c r="F480" s="558">
        <v>2024</v>
      </c>
      <c r="G480" s="559"/>
      <c r="H480" s="559"/>
      <c r="I480" s="560"/>
      <c r="J480" s="558">
        <v>2025</v>
      </c>
      <c r="K480" s="559"/>
      <c r="L480" s="559"/>
      <c r="M480" s="461"/>
    </row>
    <row r="481" spans="1:13" ht="93.75" customHeight="1" x14ac:dyDescent="0.2">
      <c r="B481" s="252"/>
      <c r="C481" s="556"/>
      <c r="D481" s="557"/>
      <c r="E481" s="557"/>
      <c r="F481" s="462" t="s">
        <v>964</v>
      </c>
      <c r="G481" s="463" t="s">
        <v>965</v>
      </c>
      <c r="H481" s="463" t="s">
        <v>1024</v>
      </c>
      <c r="I481" s="463" t="s">
        <v>1056</v>
      </c>
      <c r="J481" s="462" t="s">
        <v>964</v>
      </c>
      <c r="K481" s="463" t="s">
        <v>965</v>
      </c>
      <c r="L481" s="463" t="s">
        <v>1024</v>
      </c>
      <c r="M481" s="463" t="s">
        <v>1057</v>
      </c>
    </row>
    <row r="482" spans="1:13" ht="14.4" x14ac:dyDescent="0.3">
      <c r="A482" s="145" t="str">
        <f>C482&amp;D482</f>
        <v>Paquete 249Residencial</v>
      </c>
      <c r="B482" s="425">
        <v>1</v>
      </c>
      <c r="C482" s="95" t="s">
        <v>166</v>
      </c>
      <c r="D482" s="429" t="s">
        <v>350</v>
      </c>
      <c r="E482" s="429" t="s">
        <v>794</v>
      </c>
      <c r="F482" s="586">
        <v>208544</v>
      </c>
      <c r="G482" s="586">
        <v>0</v>
      </c>
      <c r="H482" s="586">
        <v>0</v>
      </c>
      <c r="I482" s="586">
        <v>178558</v>
      </c>
      <c r="J482" s="586">
        <v>144727</v>
      </c>
      <c r="K482" s="586">
        <v>0</v>
      </c>
      <c r="L482" s="586">
        <v>0</v>
      </c>
      <c r="M482" s="586">
        <v>220756</v>
      </c>
    </row>
    <row r="483" spans="1:13" ht="14.4" x14ac:dyDescent="0.3">
      <c r="A483" s="145" t="str">
        <f t="shared" ref="A483:A526" si="22">C483&amp;D483</f>
        <v>Paquete 289Residencial</v>
      </c>
      <c r="B483" s="425">
        <f>1+B482</f>
        <v>2</v>
      </c>
      <c r="C483" s="95" t="s">
        <v>169</v>
      </c>
      <c r="D483" s="429" t="s">
        <v>350</v>
      </c>
      <c r="E483" s="429" t="s">
        <v>794</v>
      </c>
      <c r="F483" s="586">
        <v>61315</v>
      </c>
      <c r="G483" s="586">
        <v>0</v>
      </c>
      <c r="H483" s="586">
        <v>0</v>
      </c>
      <c r="I483" s="586">
        <v>52750</v>
      </c>
      <c r="J483" s="586">
        <v>61312</v>
      </c>
      <c r="K483" s="586">
        <v>0</v>
      </c>
      <c r="L483" s="586">
        <v>0</v>
      </c>
      <c r="M483" s="586">
        <v>54033</v>
      </c>
    </row>
    <row r="484" spans="1:13" ht="14.4" x14ac:dyDescent="0.3">
      <c r="A484" s="145" t="str">
        <f t="shared" si="22"/>
        <v>Paquete 333Residencial</v>
      </c>
      <c r="B484" s="425">
        <f t="shared" ref="B484:B547" si="23">1+B483</f>
        <v>3</v>
      </c>
      <c r="C484" s="95" t="s">
        <v>173</v>
      </c>
      <c r="D484" s="429" t="s">
        <v>350</v>
      </c>
      <c r="E484" s="429" t="s">
        <v>794</v>
      </c>
      <c r="F484" s="586">
        <v>48950</v>
      </c>
      <c r="G484" s="586">
        <v>0</v>
      </c>
      <c r="H484" s="586">
        <v>0</v>
      </c>
      <c r="I484" s="586">
        <v>76575</v>
      </c>
      <c r="J484" s="586">
        <v>64820</v>
      </c>
      <c r="K484" s="586">
        <v>0</v>
      </c>
      <c r="L484" s="586">
        <v>0</v>
      </c>
      <c r="M484" s="586">
        <v>72954</v>
      </c>
    </row>
    <row r="485" spans="1:13" ht="14.4" x14ac:dyDescent="0.3">
      <c r="A485" s="145" t="str">
        <f t="shared" si="22"/>
        <v>Paquete 389Residencial</v>
      </c>
      <c r="B485" s="425">
        <f t="shared" si="23"/>
        <v>4</v>
      </c>
      <c r="C485" s="95" t="s">
        <v>176</v>
      </c>
      <c r="D485" s="429" t="s">
        <v>350</v>
      </c>
      <c r="E485" s="429" t="s">
        <v>794</v>
      </c>
      <c r="F485" s="586">
        <v>6584020</v>
      </c>
      <c r="G485" s="586">
        <v>0</v>
      </c>
      <c r="H485" s="586">
        <v>0</v>
      </c>
      <c r="I485" s="586">
        <v>5719308</v>
      </c>
      <c r="J485" s="586">
        <v>6309543</v>
      </c>
      <c r="K485" s="586">
        <v>0</v>
      </c>
      <c r="L485" s="586">
        <v>0</v>
      </c>
      <c r="M485" s="586">
        <v>5394948</v>
      </c>
    </row>
    <row r="486" spans="1:13" ht="14.4" x14ac:dyDescent="0.3">
      <c r="A486" s="145" t="str">
        <f t="shared" si="22"/>
        <v>Paquete 435Residencial</v>
      </c>
      <c r="B486" s="425">
        <f t="shared" si="23"/>
        <v>5</v>
      </c>
      <c r="C486" s="95" t="s">
        <v>179</v>
      </c>
      <c r="D486" s="429" t="s">
        <v>350</v>
      </c>
      <c r="E486" s="429" t="s">
        <v>794</v>
      </c>
      <c r="F486" s="586">
        <v>315824</v>
      </c>
      <c r="G486" s="586">
        <v>0</v>
      </c>
      <c r="H486" s="586">
        <v>0</v>
      </c>
      <c r="I486" s="586">
        <v>224677</v>
      </c>
      <c r="J486" s="586">
        <v>390797</v>
      </c>
      <c r="K486" s="586">
        <v>0</v>
      </c>
      <c r="L486" s="586">
        <v>0</v>
      </c>
      <c r="M486" s="586">
        <v>293229</v>
      </c>
    </row>
    <row r="487" spans="1:13" ht="14.4" x14ac:dyDescent="0.3">
      <c r="A487" s="145" t="str">
        <f t="shared" si="22"/>
        <v>Paquete 499Residencial</v>
      </c>
      <c r="B487" s="425">
        <f t="shared" si="23"/>
        <v>6</v>
      </c>
      <c r="C487" s="95" t="s">
        <v>181</v>
      </c>
      <c r="D487" s="429" t="s">
        <v>350</v>
      </c>
      <c r="E487" s="429" t="s">
        <v>794</v>
      </c>
      <c r="F487" s="586">
        <v>339906</v>
      </c>
      <c r="G487" s="586">
        <v>0</v>
      </c>
      <c r="H487" s="586">
        <v>0</v>
      </c>
      <c r="I487" s="586">
        <v>468082</v>
      </c>
      <c r="J487" s="586">
        <v>468533</v>
      </c>
      <c r="K487" s="586">
        <v>0</v>
      </c>
      <c r="L487" s="586">
        <v>0</v>
      </c>
      <c r="M487" s="586">
        <v>442935</v>
      </c>
    </row>
    <row r="488" spans="1:13" ht="14.4" x14ac:dyDescent="0.3">
      <c r="A488" s="145" t="str">
        <f t="shared" si="22"/>
        <v>Paquete 599Residencial</v>
      </c>
      <c r="B488" s="425">
        <f t="shared" si="23"/>
        <v>7</v>
      </c>
      <c r="C488" s="95" t="s">
        <v>183</v>
      </c>
      <c r="D488" s="429" t="s">
        <v>350</v>
      </c>
      <c r="E488" s="429" t="s">
        <v>794</v>
      </c>
      <c r="F488" s="586">
        <v>282728</v>
      </c>
      <c r="G488" s="586">
        <v>0</v>
      </c>
      <c r="H488" s="586">
        <v>0</v>
      </c>
      <c r="I488" s="586">
        <v>454327</v>
      </c>
      <c r="J488" s="586">
        <v>489507</v>
      </c>
      <c r="K488" s="586">
        <v>0</v>
      </c>
      <c r="L488" s="586">
        <v>0</v>
      </c>
      <c r="M488" s="586">
        <v>341773</v>
      </c>
    </row>
    <row r="489" spans="1:13" ht="14.4" x14ac:dyDescent="0.3">
      <c r="A489" s="145" t="str">
        <f t="shared" si="22"/>
        <v>Paquete 649Residencial</v>
      </c>
      <c r="B489" s="425">
        <f t="shared" si="23"/>
        <v>8</v>
      </c>
      <c r="C489" s="95" t="s">
        <v>186</v>
      </c>
      <c r="D489" s="429" t="s">
        <v>350</v>
      </c>
      <c r="E489" s="429" t="s">
        <v>794</v>
      </c>
      <c r="F489" s="586">
        <v>175434</v>
      </c>
      <c r="G489" s="586">
        <v>0</v>
      </c>
      <c r="H489" s="586">
        <v>0</v>
      </c>
      <c r="I489" s="586">
        <v>208197</v>
      </c>
      <c r="J489" s="586">
        <v>168712</v>
      </c>
      <c r="K489" s="586">
        <v>0</v>
      </c>
      <c r="L489" s="586">
        <v>0</v>
      </c>
      <c r="M489" s="586">
        <v>262442</v>
      </c>
    </row>
    <row r="490" spans="1:13" ht="14.4" x14ac:dyDescent="0.3">
      <c r="A490" s="145" t="str">
        <f t="shared" si="22"/>
        <v>Paquetre 725Residencial</v>
      </c>
      <c r="B490" s="425">
        <f t="shared" si="23"/>
        <v>9</v>
      </c>
      <c r="C490" s="95" t="s">
        <v>1036</v>
      </c>
      <c r="D490" s="429" t="s">
        <v>350</v>
      </c>
      <c r="E490" s="429" t="s">
        <v>794</v>
      </c>
      <c r="F490" s="586">
        <v>11771</v>
      </c>
      <c r="G490" s="586">
        <v>0</v>
      </c>
      <c r="H490" s="586">
        <v>0</v>
      </c>
      <c r="I490" s="586">
        <v>9494</v>
      </c>
      <c r="J490" s="586">
        <v>22971</v>
      </c>
      <c r="K490" s="586">
        <v>0</v>
      </c>
      <c r="L490" s="586">
        <v>0</v>
      </c>
      <c r="M490" s="586">
        <v>26221</v>
      </c>
    </row>
    <row r="491" spans="1:13" ht="14.4" outlineLevel="1" x14ac:dyDescent="0.3">
      <c r="A491" s="145" t="str">
        <f t="shared" si="22"/>
        <v>Paquete Infinitum 999Residencial</v>
      </c>
      <c r="B491" s="425">
        <f t="shared" si="23"/>
        <v>10</v>
      </c>
      <c r="C491" s="95" t="s">
        <v>188</v>
      </c>
      <c r="D491" s="429" t="s">
        <v>350</v>
      </c>
      <c r="E491" s="429" t="s">
        <v>794</v>
      </c>
      <c r="F491" s="586">
        <v>57242</v>
      </c>
      <c r="G491" s="586">
        <v>0</v>
      </c>
      <c r="H491" s="586">
        <v>0</v>
      </c>
      <c r="I491" s="586">
        <v>58058</v>
      </c>
      <c r="J491" s="586">
        <v>40299</v>
      </c>
      <c r="K491" s="586">
        <v>0</v>
      </c>
      <c r="L491" s="586">
        <v>0</v>
      </c>
      <c r="M491" s="586">
        <v>63348</v>
      </c>
    </row>
    <row r="492" spans="1:13" ht="14.4" outlineLevel="1" x14ac:dyDescent="0.3">
      <c r="A492" s="145" t="str">
        <f t="shared" si="22"/>
        <v>Paquete 1399Residencial</v>
      </c>
      <c r="B492" s="425">
        <f t="shared" si="23"/>
        <v>11</v>
      </c>
      <c r="C492" s="95" t="s">
        <v>190</v>
      </c>
      <c r="D492" s="429" t="s">
        <v>350</v>
      </c>
      <c r="E492" s="429" t="s">
        <v>794</v>
      </c>
      <c r="F492" s="586">
        <v>18763</v>
      </c>
      <c r="G492" s="586">
        <v>0</v>
      </c>
      <c r="H492" s="586">
        <v>0</v>
      </c>
      <c r="I492" s="586">
        <v>18767</v>
      </c>
      <c r="J492" s="586">
        <v>22202</v>
      </c>
      <c r="K492" s="586">
        <v>0</v>
      </c>
      <c r="L492" s="586">
        <v>0</v>
      </c>
      <c r="M492" s="586">
        <v>17363</v>
      </c>
    </row>
    <row r="493" spans="1:13" ht="14.4" outlineLevel="1" x14ac:dyDescent="0.3">
      <c r="A493" s="145" t="str">
        <f t="shared" si="22"/>
        <v>Infinitum 279Residencial</v>
      </c>
      <c r="B493" s="425">
        <f t="shared" si="23"/>
        <v>12</v>
      </c>
      <c r="C493" s="95" t="s">
        <v>167</v>
      </c>
      <c r="D493" s="429" t="s">
        <v>350</v>
      </c>
      <c r="E493" s="429" t="s">
        <v>791</v>
      </c>
      <c r="F493" s="586">
        <v>23847</v>
      </c>
      <c r="G493" s="586">
        <v>0</v>
      </c>
      <c r="H493" s="586">
        <v>0</v>
      </c>
      <c r="I493" s="586">
        <v>23709</v>
      </c>
      <c r="J493" s="586">
        <v>22969</v>
      </c>
      <c r="K493" s="586">
        <v>0</v>
      </c>
      <c r="L493" s="586">
        <v>0</v>
      </c>
      <c r="M493" s="586">
        <v>17261</v>
      </c>
    </row>
    <row r="494" spans="1:13" ht="14.4" outlineLevel="1" x14ac:dyDescent="0.3">
      <c r="A494" s="145" t="str">
        <f t="shared" si="22"/>
        <v>Infinitum 299 RResidencial</v>
      </c>
      <c r="B494" s="425">
        <f t="shared" si="23"/>
        <v>13</v>
      </c>
      <c r="C494" s="513" t="s">
        <v>170</v>
      </c>
      <c r="D494" s="429" t="s">
        <v>350</v>
      </c>
      <c r="E494" s="429" t="s">
        <v>791</v>
      </c>
      <c r="F494" s="586">
        <v>110</v>
      </c>
      <c r="G494" s="586">
        <v>0</v>
      </c>
      <c r="H494" s="586">
        <v>0</v>
      </c>
      <c r="I494" s="586">
        <v>106</v>
      </c>
      <c r="J494" s="586">
        <v>194</v>
      </c>
      <c r="K494" s="586">
        <v>0</v>
      </c>
      <c r="L494" s="586">
        <v>0</v>
      </c>
      <c r="M494" s="586">
        <v>162</v>
      </c>
    </row>
    <row r="495" spans="1:13" ht="14.4" outlineLevel="1" x14ac:dyDescent="0.3">
      <c r="A495" s="145" t="str">
        <f t="shared" si="22"/>
        <v>Infinitum 349Residencial</v>
      </c>
      <c r="B495" s="425">
        <f t="shared" si="23"/>
        <v>14</v>
      </c>
      <c r="C495" s="95" t="s">
        <v>174</v>
      </c>
      <c r="D495" s="429" t="s">
        <v>350</v>
      </c>
      <c r="E495" s="429" t="s">
        <v>791</v>
      </c>
      <c r="F495" s="586">
        <v>2429878</v>
      </c>
      <c r="G495" s="586">
        <v>0</v>
      </c>
      <c r="H495" s="586">
        <v>0</v>
      </c>
      <c r="I495" s="586">
        <v>2245921</v>
      </c>
      <c r="J495" s="586">
        <v>2396191</v>
      </c>
      <c r="K495" s="586">
        <v>0</v>
      </c>
      <c r="L495" s="586">
        <v>0</v>
      </c>
      <c r="M495" s="586">
        <v>2611472</v>
      </c>
    </row>
    <row r="496" spans="1:13" ht="14.4" outlineLevel="1" x14ac:dyDescent="0.3">
      <c r="A496" s="145" t="str">
        <f t="shared" si="22"/>
        <v>Infinitum 399Residencial</v>
      </c>
      <c r="B496" s="425">
        <f t="shared" si="23"/>
        <v>15</v>
      </c>
      <c r="C496" s="95" t="s">
        <v>177</v>
      </c>
      <c r="D496" s="429" t="s">
        <v>350</v>
      </c>
      <c r="E496" s="429" t="s">
        <v>791</v>
      </c>
      <c r="F496" s="586">
        <v>200482</v>
      </c>
      <c r="G496" s="586">
        <v>0</v>
      </c>
      <c r="H496" s="586">
        <v>0</v>
      </c>
      <c r="I496" s="586">
        <v>161770</v>
      </c>
      <c r="J496" s="586">
        <v>214934</v>
      </c>
      <c r="K496" s="586">
        <v>0</v>
      </c>
      <c r="L496" s="586">
        <v>0</v>
      </c>
      <c r="M496" s="586">
        <v>236561</v>
      </c>
    </row>
    <row r="497" spans="1:13" ht="14.4" outlineLevel="1" x14ac:dyDescent="0.3">
      <c r="A497" s="145" t="str">
        <f t="shared" si="22"/>
        <v>Infinitum 449Residencial</v>
      </c>
      <c r="B497" s="425">
        <f t="shared" si="23"/>
        <v>16</v>
      </c>
      <c r="C497" s="95" t="s">
        <v>180</v>
      </c>
      <c r="D497" s="429" t="s">
        <v>350</v>
      </c>
      <c r="E497" s="429" t="s">
        <v>791</v>
      </c>
      <c r="F497" s="586">
        <v>156772</v>
      </c>
      <c r="G497" s="586">
        <v>0</v>
      </c>
      <c r="H497" s="586">
        <v>0</v>
      </c>
      <c r="I497" s="586">
        <v>235289</v>
      </c>
      <c r="J497" s="586">
        <v>166024</v>
      </c>
      <c r="K497" s="586">
        <v>0</v>
      </c>
      <c r="L497" s="586">
        <v>0</v>
      </c>
      <c r="M497" s="586">
        <v>216853</v>
      </c>
    </row>
    <row r="498" spans="1:13" ht="14.4" outlineLevel="1" x14ac:dyDescent="0.3">
      <c r="A498" s="145" t="str">
        <f t="shared" si="22"/>
        <v>Infinitum 499Residencial</v>
      </c>
      <c r="B498" s="425">
        <f t="shared" si="23"/>
        <v>17</v>
      </c>
      <c r="C498" s="95" t="s">
        <v>1037</v>
      </c>
      <c r="D498" s="429" t="s">
        <v>350</v>
      </c>
      <c r="E498" s="429" t="s">
        <v>791</v>
      </c>
      <c r="F498" s="586">
        <v>9807</v>
      </c>
      <c r="G498" s="586">
        <v>0</v>
      </c>
      <c r="H498" s="586">
        <v>0</v>
      </c>
      <c r="I498" s="586">
        <v>14526</v>
      </c>
      <c r="J498" s="586">
        <v>30844</v>
      </c>
      <c r="K498" s="586">
        <v>0</v>
      </c>
      <c r="L498" s="586">
        <v>0</v>
      </c>
      <c r="M498" s="586">
        <v>24925</v>
      </c>
    </row>
    <row r="499" spans="1:13" ht="14.4" outlineLevel="1" x14ac:dyDescent="0.3">
      <c r="A499" s="145" t="str">
        <f t="shared" si="22"/>
        <v>Infinitum 549Residencial</v>
      </c>
      <c r="B499" s="425">
        <f t="shared" si="23"/>
        <v>18</v>
      </c>
      <c r="C499" s="95" t="s">
        <v>182</v>
      </c>
      <c r="D499" s="429" t="s">
        <v>350</v>
      </c>
      <c r="E499" s="429" t="s">
        <v>791</v>
      </c>
      <c r="F499" s="586">
        <v>147792</v>
      </c>
      <c r="G499" s="586">
        <v>0</v>
      </c>
      <c r="H499" s="586">
        <v>0</v>
      </c>
      <c r="I499" s="586">
        <v>135069</v>
      </c>
      <c r="J499" s="586">
        <v>183578</v>
      </c>
      <c r="K499" s="586">
        <v>0</v>
      </c>
      <c r="L499" s="586">
        <v>0</v>
      </c>
      <c r="M499" s="586">
        <v>226673</v>
      </c>
    </row>
    <row r="500" spans="1:13" ht="14.4" outlineLevel="1" x14ac:dyDescent="0.3">
      <c r="A500" s="145" t="str">
        <f t="shared" si="22"/>
        <v>Infinitum 649Residencial</v>
      </c>
      <c r="B500" s="425">
        <f t="shared" si="23"/>
        <v>19</v>
      </c>
      <c r="C500" s="95" t="s">
        <v>1038</v>
      </c>
      <c r="D500" s="429" t="s">
        <v>350</v>
      </c>
      <c r="E500" s="429" t="s">
        <v>791</v>
      </c>
      <c r="F500" s="586">
        <v>13928</v>
      </c>
      <c r="G500" s="586">
        <v>0</v>
      </c>
      <c r="H500" s="586">
        <v>0</v>
      </c>
      <c r="I500" s="586">
        <v>12079</v>
      </c>
      <c r="J500" s="586">
        <v>30414</v>
      </c>
      <c r="K500" s="586">
        <v>0</v>
      </c>
      <c r="L500" s="586">
        <v>0</v>
      </c>
      <c r="M500" s="586">
        <v>21487</v>
      </c>
    </row>
    <row r="501" spans="1:13" ht="14.4" outlineLevel="1" x14ac:dyDescent="0.3">
      <c r="A501" s="145" t="str">
        <f t="shared" si="22"/>
        <v>Infinitum 899Residencial</v>
      </c>
      <c r="B501" s="425">
        <f t="shared" si="23"/>
        <v>20</v>
      </c>
      <c r="C501" s="95" t="s">
        <v>184</v>
      </c>
      <c r="D501" s="429" t="s">
        <v>350</v>
      </c>
      <c r="E501" s="429" t="s">
        <v>791</v>
      </c>
      <c r="F501" s="586">
        <v>16026</v>
      </c>
      <c r="G501" s="586">
        <v>0</v>
      </c>
      <c r="H501" s="586">
        <v>0</v>
      </c>
      <c r="I501" s="586">
        <v>19346</v>
      </c>
      <c r="J501" s="586">
        <v>19963</v>
      </c>
      <c r="K501" s="586">
        <v>0</v>
      </c>
      <c r="L501" s="586">
        <v>0</v>
      </c>
      <c r="M501" s="586">
        <v>18741</v>
      </c>
    </row>
    <row r="502" spans="1:13" ht="14.4" outlineLevel="1" x14ac:dyDescent="0.3">
      <c r="A502" s="145" t="str">
        <f t="shared" si="22"/>
        <v>Paquete Conectes NegocioNo residencial</v>
      </c>
      <c r="B502" s="425">
        <f t="shared" si="23"/>
        <v>21</v>
      </c>
      <c r="C502" s="95" t="s">
        <v>194</v>
      </c>
      <c r="D502" s="429" t="s">
        <v>1039</v>
      </c>
      <c r="E502" s="429" t="s">
        <v>794</v>
      </c>
      <c r="F502" s="586">
        <v>761450</v>
      </c>
      <c r="G502" s="586">
        <v>0</v>
      </c>
      <c r="H502" s="586">
        <v>0</v>
      </c>
      <c r="I502" s="586">
        <v>749558</v>
      </c>
      <c r="J502" s="586">
        <v>637013</v>
      </c>
      <c r="K502" s="586">
        <v>0</v>
      </c>
      <c r="L502" s="586">
        <v>0</v>
      </c>
      <c r="M502" s="586">
        <v>546016</v>
      </c>
    </row>
    <row r="503" spans="1:13" ht="14.4" outlineLevel="1" x14ac:dyDescent="0.3">
      <c r="A503" s="145" t="str">
        <f t="shared" si="22"/>
        <v>Paquete Mi NegocioNo residencial</v>
      </c>
      <c r="B503" s="425">
        <f t="shared" si="23"/>
        <v>22</v>
      </c>
      <c r="C503" s="95" t="s">
        <v>196</v>
      </c>
      <c r="D503" s="429" t="s">
        <v>1039</v>
      </c>
      <c r="E503" s="429" t="s">
        <v>794</v>
      </c>
      <c r="F503" s="586">
        <v>374328</v>
      </c>
      <c r="G503" s="586">
        <v>0</v>
      </c>
      <c r="H503" s="586">
        <v>0</v>
      </c>
      <c r="I503" s="586">
        <v>350964</v>
      </c>
      <c r="J503" s="586">
        <v>294930</v>
      </c>
      <c r="K503" s="586">
        <v>0</v>
      </c>
      <c r="L503" s="586">
        <v>0</v>
      </c>
      <c r="M503" s="586">
        <v>321885</v>
      </c>
    </row>
    <row r="504" spans="1:13" ht="14.4" outlineLevel="1" x14ac:dyDescent="0.3">
      <c r="A504" s="145" t="str">
        <f t="shared" si="22"/>
        <v>Paquete Negocio 649No residencial</v>
      </c>
      <c r="B504" s="425">
        <f t="shared" si="23"/>
        <v>23</v>
      </c>
      <c r="C504" s="95" t="s">
        <v>198</v>
      </c>
      <c r="D504" s="429" t="s">
        <v>1039</v>
      </c>
      <c r="E504" s="429" t="s">
        <v>794</v>
      </c>
      <c r="F504" s="586">
        <v>17509</v>
      </c>
      <c r="G504" s="586">
        <v>0</v>
      </c>
      <c r="H504" s="586">
        <v>0</v>
      </c>
      <c r="I504" s="586">
        <v>19727</v>
      </c>
      <c r="J504" s="586">
        <v>34187</v>
      </c>
      <c r="K504" s="586">
        <v>0</v>
      </c>
      <c r="L504" s="586">
        <v>0</v>
      </c>
      <c r="M504" s="586">
        <v>28723</v>
      </c>
    </row>
    <row r="505" spans="1:13" ht="14.4" outlineLevel="1" x14ac:dyDescent="0.3">
      <c r="A505" s="145" t="str">
        <f t="shared" si="22"/>
        <v>Paquete SupernegocioNo residencial</v>
      </c>
      <c r="B505" s="425">
        <f t="shared" si="23"/>
        <v>24</v>
      </c>
      <c r="C505" s="95" t="s">
        <v>200</v>
      </c>
      <c r="D505" s="429" t="s">
        <v>1039</v>
      </c>
      <c r="E505" s="429" t="s">
        <v>794</v>
      </c>
      <c r="F505" s="586">
        <v>178797</v>
      </c>
      <c r="G505" s="586">
        <v>0</v>
      </c>
      <c r="H505" s="586">
        <v>0</v>
      </c>
      <c r="I505" s="586">
        <v>229996</v>
      </c>
      <c r="J505" s="586">
        <v>268468</v>
      </c>
      <c r="K505" s="586">
        <v>0</v>
      </c>
      <c r="L505" s="586">
        <v>0</v>
      </c>
      <c r="M505" s="586">
        <v>243911</v>
      </c>
    </row>
    <row r="506" spans="1:13" ht="14.4" outlineLevel="1" x14ac:dyDescent="0.3">
      <c r="A506" s="145" t="str">
        <f t="shared" si="22"/>
        <v>Paquete Negocio 999No residencial</v>
      </c>
      <c r="B506" s="425">
        <f t="shared" si="23"/>
        <v>25</v>
      </c>
      <c r="C506" s="95" t="s">
        <v>202</v>
      </c>
      <c r="D506" s="429" t="s">
        <v>1039</v>
      </c>
      <c r="E506" s="429" t="s">
        <v>794</v>
      </c>
      <c r="F506" s="586">
        <v>5414</v>
      </c>
      <c r="G506" s="586">
        <v>0</v>
      </c>
      <c r="H506" s="586">
        <v>0</v>
      </c>
      <c r="I506" s="586">
        <v>8176</v>
      </c>
      <c r="J506" s="586">
        <v>9296</v>
      </c>
      <c r="K506" s="586">
        <v>0</v>
      </c>
      <c r="L506" s="586">
        <v>0</v>
      </c>
      <c r="M506" s="586">
        <v>8144</v>
      </c>
    </row>
    <row r="507" spans="1:13" ht="14.4" outlineLevel="1" x14ac:dyDescent="0.3">
      <c r="A507" s="145" t="str">
        <f t="shared" si="22"/>
        <v>Paquete Telmex Negocio Ilimitado 1No residencial</v>
      </c>
      <c r="B507" s="425">
        <f t="shared" si="23"/>
        <v>26</v>
      </c>
      <c r="C507" s="95" t="s">
        <v>203</v>
      </c>
      <c r="D507" s="429" t="s">
        <v>1039</v>
      </c>
      <c r="E507" s="429" t="s">
        <v>794</v>
      </c>
      <c r="F507" s="586">
        <v>38868</v>
      </c>
      <c r="G507" s="586">
        <v>0</v>
      </c>
      <c r="H507" s="586">
        <v>0</v>
      </c>
      <c r="I507" s="586">
        <v>47311</v>
      </c>
      <c r="J507" s="586">
        <v>61151</v>
      </c>
      <c r="K507" s="586">
        <v>0</v>
      </c>
      <c r="L507" s="586">
        <v>0</v>
      </c>
      <c r="M507" s="586">
        <v>60427</v>
      </c>
    </row>
    <row r="508" spans="1:13" ht="14.4" outlineLevel="1" x14ac:dyDescent="0.3">
      <c r="A508" s="145" t="str">
        <f t="shared" si="22"/>
        <v>Paquete Telmex Negocio Ilimitado 2No residencial</v>
      </c>
      <c r="B508" s="425">
        <f t="shared" si="23"/>
        <v>27</v>
      </c>
      <c r="C508" s="95" t="s">
        <v>204</v>
      </c>
      <c r="D508" s="429" t="s">
        <v>1039</v>
      </c>
      <c r="E508" s="429" t="s">
        <v>794</v>
      </c>
      <c r="F508" s="586">
        <v>17832</v>
      </c>
      <c r="G508" s="586">
        <v>0</v>
      </c>
      <c r="H508" s="586">
        <v>0</v>
      </c>
      <c r="I508" s="586">
        <v>20200</v>
      </c>
      <c r="J508" s="586">
        <v>16768</v>
      </c>
      <c r="K508" s="586">
        <v>0</v>
      </c>
      <c r="L508" s="586">
        <v>0</v>
      </c>
      <c r="M508" s="586">
        <v>18219</v>
      </c>
    </row>
    <row r="509" spans="1:13" ht="14.4" outlineLevel="1" x14ac:dyDescent="0.3">
      <c r="A509" s="145" t="str">
        <f t="shared" si="22"/>
        <v>Paquete Telmex Negocio Ilimitado 3No residencial</v>
      </c>
      <c r="B509" s="425">
        <f t="shared" si="23"/>
        <v>28</v>
      </c>
      <c r="C509" s="95" t="s">
        <v>205</v>
      </c>
      <c r="D509" s="429" t="s">
        <v>1039</v>
      </c>
      <c r="E509" s="429" t="s">
        <v>794</v>
      </c>
      <c r="F509" s="586">
        <v>19654</v>
      </c>
      <c r="G509" s="586">
        <v>0</v>
      </c>
      <c r="H509" s="586">
        <v>0</v>
      </c>
      <c r="I509" s="586">
        <v>21066</v>
      </c>
      <c r="J509" s="586">
        <v>32497</v>
      </c>
      <c r="K509" s="586">
        <v>0</v>
      </c>
      <c r="L509" s="586">
        <v>0</v>
      </c>
      <c r="M509" s="586">
        <v>23914</v>
      </c>
    </row>
    <row r="510" spans="1:13" ht="14.4" outlineLevel="1" x14ac:dyDescent="0.3">
      <c r="A510" s="145" t="str">
        <f t="shared" si="22"/>
        <v>Infinitum 299 NNo residencial</v>
      </c>
      <c r="B510" s="425">
        <f t="shared" si="23"/>
        <v>29</v>
      </c>
      <c r="C510" s="513" t="s">
        <v>187</v>
      </c>
      <c r="D510" s="429" t="s">
        <v>1039</v>
      </c>
      <c r="E510" s="429" t="s">
        <v>791</v>
      </c>
      <c r="F510" s="586">
        <v>1797</v>
      </c>
      <c r="G510" s="586">
        <v>0</v>
      </c>
      <c r="H510" s="586">
        <v>0</v>
      </c>
      <c r="I510" s="586">
        <v>1713</v>
      </c>
      <c r="J510" s="586">
        <v>3729</v>
      </c>
      <c r="K510" s="586">
        <v>0</v>
      </c>
      <c r="L510" s="586">
        <v>0</v>
      </c>
      <c r="M510" s="586">
        <v>3513</v>
      </c>
    </row>
    <row r="511" spans="1:13" ht="14.4" outlineLevel="1" x14ac:dyDescent="0.3">
      <c r="A511" s="145" t="str">
        <f t="shared" si="22"/>
        <v>Infinitum Negocio 349No residencial</v>
      </c>
      <c r="B511" s="425">
        <f t="shared" si="23"/>
        <v>30</v>
      </c>
      <c r="C511" s="95" t="s">
        <v>189</v>
      </c>
      <c r="D511" s="429" t="s">
        <v>1039</v>
      </c>
      <c r="E511" s="429" t="s">
        <v>791</v>
      </c>
      <c r="F511" s="586">
        <v>148257</v>
      </c>
      <c r="G511" s="586">
        <v>0</v>
      </c>
      <c r="H511" s="586">
        <v>0</v>
      </c>
      <c r="I511" s="586">
        <v>172320</v>
      </c>
      <c r="J511" s="586">
        <v>172446</v>
      </c>
      <c r="K511" s="586">
        <v>0</v>
      </c>
      <c r="L511" s="586">
        <v>0</v>
      </c>
      <c r="M511" s="586">
        <v>149423</v>
      </c>
    </row>
    <row r="512" spans="1:13" ht="14.4" outlineLevel="1" x14ac:dyDescent="0.3">
      <c r="A512" s="145" t="str">
        <f t="shared" si="22"/>
        <v>Infinitum Negocio 399No residencial</v>
      </c>
      <c r="B512" s="425">
        <f t="shared" si="23"/>
        <v>31</v>
      </c>
      <c r="C512" s="95" t="s">
        <v>191</v>
      </c>
      <c r="D512" s="429" t="s">
        <v>1039</v>
      </c>
      <c r="E512" s="429" t="s">
        <v>791</v>
      </c>
      <c r="F512" s="586">
        <v>33131</v>
      </c>
      <c r="G512" s="586">
        <v>0</v>
      </c>
      <c r="H512" s="586">
        <v>0</v>
      </c>
      <c r="I512" s="586">
        <v>24875</v>
      </c>
      <c r="J512" s="586">
        <v>41593</v>
      </c>
      <c r="K512" s="586">
        <v>0</v>
      </c>
      <c r="L512" s="586">
        <v>0</v>
      </c>
      <c r="M512" s="586">
        <v>36587</v>
      </c>
    </row>
    <row r="513" spans="1:13" ht="14.4" outlineLevel="1" x14ac:dyDescent="0.3">
      <c r="A513" s="145" t="str">
        <f t="shared" si="22"/>
        <v>Infinitum Negocio 449No residencial</v>
      </c>
      <c r="B513" s="425">
        <f t="shared" si="23"/>
        <v>32</v>
      </c>
      <c r="C513" s="95" t="s">
        <v>192</v>
      </c>
      <c r="D513" s="429" t="s">
        <v>1039</v>
      </c>
      <c r="E513" s="429" t="s">
        <v>791</v>
      </c>
      <c r="F513" s="586">
        <v>13049</v>
      </c>
      <c r="G513" s="586">
        <v>0</v>
      </c>
      <c r="H513" s="586">
        <v>0</v>
      </c>
      <c r="I513" s="586">
        <v>20891</v>
      </c>
      <c r="J513" s="586">
        <v>21227</v>
      </c>
      <c r="K513" s="586">
        <v>0</v>
      </c>
      <c r="L513" s="586">
        <v>0</v>
      </c>
      <c r="M513" s="586">
        <v>14973</v>
      </c>
    </row>
    <row r="514" spans="1:13" ht="14.4" outlineLevel="1" x14ac:dyDescent="0.3">
      <c r="A514" s="145" t="str">
        <f t="shared" si="22"/>
        <v>Infinitum Negocio 499No residencial</v>
      </c>
      <c r="B514" s="425">
        <f t="shared" si="23"/>
        <v>33</v>
      </c>
      <c r="C514" s="95" t="s">
        <v>1040</v>
      </c>
      <c r="D514" s="429" t="s">
        <v>1039</v>
      </c>
      <c r="E514" s="429" t="s">
        <v>791</v>
      </c>
      <c r="F514" s="586">
        <v>1310</v>
      </c>
      <c r="G514" s="586">
        <v>0</v>
      </c>
      <c r="H514" s="586">
        <v>0</v>
      </c>
      <c r="I514" s="586">
        <v>855</v>
      </c>
      <c r="J514" s="586">
        <v>5049</v>
      </c>
      <c r="K514" s="586">
        <v>0</v>
      </c>
      <c r="L514" s="586">
        <v>0</v>
      </c>
      <c r="M514" s="586">
        <v>6324</v>
      </c>
    </row>
    <row r="515" spans="1:13" ht="14.4" outlineLevel="1" x14ac:dyDescent="0.3">
      <c r="A515" s="145" t="str">
        <f t="shared" si="22"/>
        <v>Infinitum Negocio 549No residencial</v>
      </c>
      <c r="B515" s="425">
        <f t="shared" si="23"/>
        <v>34</v>
      </c>
      <c r="C515" s="95" t="s">
        <v>193</v>
      </c>
      <c r="D515" s="429" t="s">
        <v>1039</v>
      </c>
      <c r="E515" s="429" t="s">
        <v>791</v>
      </c>
      <c r="F515" s="586">
        <v>18065</v>
      </c>
      <c r="G515" s="586">
        <v>0</v>
      </c>
      <c r="H515" s="586">
        <v>0</v>
      </c>
      <c r="I515" s="586">
        <v>22755</v>
      </c>
      <c r="J515" s="586">
        <v>28352</v>
      </c>
      <c r="K515" s="586">
        <v>0</v>
      </c>
      <c r="L515" s="586">
        <v>0</v>
      </c>
      <c r="M515" s="586">
        <v>28748</v>
      </c>
    </row>
    <row r="516" spans="1:13" ht="14.4" outlineLevel="1" x14ac:dyDescent="0.3">
      <c r="A516" s="145" t="str">
        <f t="shared" si="22"/>
        <v>Infinitum Negocio 649No residencial</v>
      </c>
      <c r="B516" s="425">
        <f t="shared" si="23"/>
        <v>35</v>
      </c>
      <c r="C516" s="95" t="s">
        <v>1041</v>
      </c>
      <c r="D516" s="429" t="s">
        <v>1039</v>
      </c>
      <c r="E516" s="429" t="s">
        <v>791</v>
      </c>
      <c r="F516" s="586">
        <v>1943</v>
      </c>
      <c r="G516" s="586">
        <v>0</v>
      </c>
      <c r="H516" s="586">
        <v>0</v>
      </c>
      <c r="I516" s="586">
        <v>1436</v>
      </c>
      <c r="J516" s="586">
        <v>5775</v>
      </c>
      <c r="K516" s="586">
        <v>0</v>
      </c>
      <c r="L516" s="586">
        <v>0</v>
      </c>
      <c r="M516" s="586">
        <v>5216</v>
      </c>
    </row>
    <row r="517" spans="1:13" ht="14.4" outlineLevel="1" x14ac:dyDescent="0.3">
      <c r="A517" s="145" t="str">
        <f t="shared" si="22"/>
        <v>Infinitum Negocio 899No residencial</v>
      </c>
      <c r="B517" s="425">
        <f t="shared" si="23"/>
        <v>36</v>
      </c>
      <c r="C517" s="95" t="s">
        <v>195</v>
      </c>
      <c r="D517" s="429" t="s">
        <v>1039</v>
      </c>
      <c r="E517" s="429" t="s">
        <v>791</v>
      </c>
      <c r="F517" s="586">
        <v>5809</v>
      </c>
      <c r="G517" s="586">
        <v>0</v>
      </c>
      <c r="H517" s="586">
        <v>0</v>
      </c>
      <c r="I517" s="586">
        <v>7402</v>
      </c>
      <c r="J517" s="586">
        <v>7981</v>
      </c>
      <c r="K517" s="586">
        <v>0</v>
      </c>
      <c r="L517" s="586">
        <v>0</v>
      </c>
      <c r="M517" s="586">
        <v>6544</v>
      </c>
    </row>
    <row r="518" spans="1:13" ht="14.4" outlineLevel="1" x14ac:dyDescent="0.3">
      <c r="A518" s="145" t="str">
        <f t="shared" si="22"/>
        <v>Infinitum NegocioNo Residencial</v>
      </c>
      <c r="B518" s="425">
        <f t="shared" si="23"/>
        <v>37</v>
      </c>
      <c r="C518" s="95" t="s">
        <v>197</v>
      </c>
      <c r="D518" s="429" t="s">
        <v>351</v>
      </c>
      <c r="E518" s="429" t="s">
        <v>791</v>
      </c>
      <c r="F518" s="586">
        <v>34340</v>
      </c>
      <c r="G518" s="586">
        <v>0</v>
      </c>
      <c r="H518" s="586">
        <v>0</v>
      </c>
      <c r="I518" s="586">
        <v>34615</v>
      </c>
      <c r="J518" s="586">
        <v>27125</v>
      </c>
      <c r="K518" s="586">
        <v>0</v>
      </c>
      <c r="L518" s="586">
        <v>0</v>
      </c>
      <c r="M518" s="586">
        <v>34483</v>
      </c>
    </row>
    <row r="519" spans="1:13" ht="14.4" outlineLevel="1" x14ac:dyDescent="0.3">
      <c r="A519" s="145" t="str">
        <f t="shared" si="22"/>
        <v>Infinitum Negocio RedNo Residencial</v>
      </c>
      <c r="B519" s="425">
        <f t="shared" si="23"/>
        <v>38</v>
      </c>
      <c r="C519" s="95" t="s">
        <v>199</v>
      </c>
      <c r="D519" s="429" t="s">
        <v>351</v>
      </c>
      <c r="E519" s="429" t="s">
        <v>791</v>
      </c>
      <c r="F519" s="586">
        <v>7963</v>
      </c>
      <c r="G519" s="586">
        <v>0</v>
      </c>
      <c r="H519" s="586">
        <v>0</v>
      </c>
      <c r="I519" s="586">
        <v>12717</v>
      </c>
      <c r="J519" s="586">
        <v>13206</v>
      </c>
      <c r="K519" s="586">
        <v>0</v>
      </c>
      <c r="L519" s="586">
        <v>0</v>
      </c>
      <c r="M519" s="586">
        <v>10382</v>
      </c>
    </row>
    <row r="520" spans="1:13" ht="14.4" outlineLevel="1" x14ac:dyDescent="0.3">
      <c r="A520" s="145" t="str">
        <f t="shared" si="22"/>
        <v>Infinitum Negocio PremiumNo Residencial</v>
      </c>
      <c r="B520" s="425">
        <f t="shared" si="23"/>
        <v>39</v>
      </c>
      <c r="C520" s="95" t="s">
        <v>201</v>
      </c>
      <c r="D520" s="429" t="s">
        <v>351</v>
      </c>
      <c r="E520" s="429" t="s">
        <v>791</v>
      </c>
      <c r="F520" s="586">
        <v>11495</v>
      </c>
      <c r="G520" s="586">
        <v>0</v>
      </c>
      <c r="H520" s="586">
        <v>0</v>
      </c>
      <c r="I520" s="586">
        <v>13191</v>
      </c>
      <c r="J520" s="586">
        <v>11164</v>
      </c>
      <c r="K520" s="586">
        <v>0</v>
      </c>
      <c r="L520" s="586">
        <v>0</v>
      </c>
      <c r="M520" s="586">
        <v>9320</v>
      </c>
    </row>
    <row r="521" spans="1:13" ht="14.4" outlineLevel="1" x14ac:dyDescent="0.3">
      <c r="A521" s="145" t="str">
        <f t="shared" si="22"/>
        <v>Velocidad Simétrica Conectes NegocioNo Residencial</v>
      </c>
      <c r="B521" s="425">
        <f t="shared" si="23"/>
        <v>40</v>
      </c>
      <c r="C521" s="95" t="s">
        <v>494</v>
      </c>
      <c r="D521" s="429" t="s">
        <v>351</v>
      </c>
      <c r="E521" s="429" t="s">
        <v>794</v>
      </c>
      <c r="F521" s="586">
        <v>4853</v>
      </c>
      <c r="G521" s="586">
        <v>0</v>
      </c>
      <c r="H521" s="586">
        <v>0</v>
      </c>
      <c r="I521" s="586">
        <v>4831</v>
      </c>
      <c r="J521" s="586">
        <v>0</v>
      </c>
      <c r="K521" s="586">
        <v>0</v>
      </c>
      <c r="L521" s="586">
        <v>0</v>
      </c>
      <c r="M521" s="586">
        <v>0</v>
      </c>
    </row>
    <row r="522" spans="1:13" ht="14.4" outlineLevel="1" x14ac:dyDescent="0.3">
      <c r="A522" s="145" t="str">
        <f t="shared" si="22"/>
        <v>Velocidad Simétrica Mi NegocioNo Residencial</v>
      </c>
      <c r="B522" s="425">
        <f t="shared" si="23"/>
        <v>41</v>
      </c>
      <c r="C522" s="95" t="s">
        <v>496</v>
      </c>
      <c r="D522" s="429" t="s">
        <v>351</v>
      </c>
      <c r="E522" s="429" t="s">
        <v>794</v>
      </c>
      <c r="F522" s="586">
        <v>5102</v>
      </c>
      <c r="G522" s="586">
        <v>0</v>
      </c>
      <c r="H522" s="586">
        <v>0</v>
      </c>
      <c r="I522" s="586">
        <v>8134</v>
      </c>
      <c r="J522" s="586">
        <v>0</v>
      </c>
      <c r="K522" s="586">
        <v>0</v>
      </c>
      <c r="L522" s="586">
        <v>0</v>
      </c>
      <c r="M522" s="586">
        <v>0</v>
      </c>
    </row>
    <row r="523" spans="1:13" ht="14.4" outlineLevel="1" x14ac:dyDescent="0.3">
      <c r="A523" s="145" t="str">
        <f t="shared" si="22"/>
        <v>Velocidad Simétrica SupernegocioNo Residencial</v>
      </c>
      <c r="B523" s="425">
        <f t="shared" si="23"/>
        <v>42</v>
      </c>
      <c r="C523" s="95" t="s">
        <v>498</v>
      </c>
      <c r="D523" s="429" t="s">
        <v>351</v>
      </c>
      <c r="E523" s="429" t="s">
        <v>794</v>
      </c>
      <c r="F523" s="586">
        <v>0</v>
      </c>
      <c r="G523" s="586">
        <v>0</v>
      </c>
      <c r="H523" s="586">
        <v>0</v>
      </c>
      <c r="I523" s="586">
        <v>0</v>
      </c>
      <c r="J523" s="586">
        <v>0</v>
      </c>
      <c r="K523" s="586">
        <v>0</v>
      </c>
      <c r="L523" s="586">
        <v>0</v>
      </c>
      <c r="M523" s="586">
        <v>0</v>
      </c>
    </row>
    <row r="524" spans="1:13" ht="14.4" outlineLevel="1" x14ac:dyDescent="0.3">
      <c r="A524" s="145" t="str">
        <f t="shared" si="22"/>
        <v>Velocidad Simétrica Telmex Negocio Ilimitado 1No Residencial</v>
      </c>
      <c r="B524" s="425">
        <f t="shared" si="23"/>
        <v>43</v>
      </c>
      <c r="C524" s="95" t="s">
        <v>500</v>
      </c>
      <c r="D524" s="429" t="s">
        <v>351</v>
      </c>
      <c r="E524" s="429" t="s">
        <v>794</v>
      </c>
      <c r="F524" s="586">
        <v>0</v>
      </c>
      <c r="G524" s="586">
        <v>0</v>
      </c>
      <c r="H524" s="586">
        <v>0</v>
      </c>
      <c r="I524" s="586">
        <v>0</v>
      </c>
      <c r="J524" s="586">
        <v>0</v>
      </c>
      <c r="K524" s="586">
        <v>0</v>
      </c>
      <c r="L524" s="586">
        <v>0</v>
      </c>
      <c r="M524" s="586">
        <v>0</v>
      </c>
    </row>
    <row r="525" spans="1:13" ht="14.4" outlineLevel="1" x14ac:dyDescent="0.3">
      <c r="A525" s="145" t="str">
        <f t="shared" si="22"/>
        <v>Velocidad Simétrica Telmex Negocio Ilimitado 2No Residencial</v>
      </c>
      <c r="B525" s="425">
        <f t="shared" si="23"/>
        <v>44</v>
      </c>
      <c r="C525" s="95" t="s">
        <v>502</v>
      </c>
      <c r="D525" s="429" t="s">
        <v>351</v>
      </c>
      <c r="E525" s="429" t="s">
        <v>794</v>
      </c>
      <c r="F525" s="586">
        <v>0</v>
      </c>
      <c r="G525" s="586">
        <v>0</v>
      </c>
      <c r="H525" s="586">
        <v>0</v>
      </c>
      <c r="I525" s="586">
        <v>0</v>
      </c>
      <c r="J525" s="586">
        <v>0</v>
      </c>
      <c r="K525" s="586">
        <v>0</v>
      </c>
      <c r="L525" s="586">
        <v>0</v>
      </c>
      <c r="M525" s="586">
        <v>0</v>
      </c>
    </row>
    <row r="526" spans="1:13" ht="14.4" outlineLevel="1" x14ac:dyDescent="0.3">
      <c r="A526" s="145" t="str">
        <f t="shared" si="22"/>
        <v>Velocidad Simétrica Telmex Negocio limitado 3No Residencial</v>
      </c>
      <c r="B526" s="425">
        <f t="shared" si="23"/>
        <v>45</v>
      </c>
      <c r="C526" s="95" t="s">
        <v>504</v>
      </c>
      <c r="D526" s="429" t="s">
        <v>351</v>
      </c>
      <c r="E526" s="429" t="s">
        <v>794</v>
      </c>
      <c r="F526" s="586">
        <v>0</v>
      </c>
      <c r="G526" s="586">
        <v>0</v>
      </c>
      <c r="H526" s="586">
        <v>0</v>
      </c>
      <c r="I526" s="586">
        <v>0</v>
      </c>
      <c r="J526" s="586">
        <v>0</v>
      </c>
      <c r="K526" s="586">
        <v>0</v>
      </c>
      <c r="L526" s="586">
        <v>0</v>
      </c>
      <c r="M526" s="586">
        <v>0</v>
      </c>
    </row>
    <row r="527" spans="1:13" ht="14.4" hidden="1" outlineLevel="1" x14ac:dyDescent="0.3">
      <c r="B527" s="425">
        <f t="shared" si="23"/>
        <v>46</v>
      </c>
      <c r="C527" s="95" t="s">
        <v>456</v>
      </c>
      <c r="D527" s="429" t="s">
        <v>796</v>
      </c>
      <c r="E527" s="429" t="s">
        <v>797</v>
      </c>
      <c r="F527" s="91"/>
      <c r="G527" s="91"/>
      <c r="H527" s="91"/>
      <c r="I527" s="91"/>
      <c r="J527" s="91"/>
      <c r="K527" s="91"/>
      <c r="L527" s="91"/>
      <c r="M527" s="91"/>
    </row>
    <row r="528" spans="1:13" ht="14.4" hidden="1" outlineLevel="1" x14ac:dyDescent="0.3">
      <c r="B528" s="425">
        <f t="shared" si="23"/>
        <v>47</v>
      </c>
      <c r="C528" s="95" t="s">
        <v>456</v>
      </c>
      <c r="D528" s="429" t="s">
        <v>796</v>
      </c>
      <c r="E528" s="429" t="s">
        <v>797</v>
      </c>
      <c r="F528" s="91"/>
      <c r="G528" s="91"/>
      <c r="H528" s="91"/>
      <c r="I528" s="91"/>
      <c r="J528" s="91"/>
      <c r="K528" s="91"/>
      <c r="L528" s="91"/>
      <c r="M528" s="91"/>
    </row>
    <row r="529" spans="2:13" ht="14.4" hidden="1" outlineLevel="1" x14ac:dyDescent="0.3">
      <c r="B529" s="425">
        <f t="shared" si="23"/>
        <v>48</v>
      </c>
      <c r="C529" s="95" t="s">
        <v>456</v>
      </c>
      <c r="D529" s="429" t="s">
        <v>796</v>
      </c>
      <c r="E529" s="429" t="s">
        <v>797</v>
      </c>
      <c r="F529" s="91"/>
      <c r="G529" s="91"/>
      <c r="H529" s="91"/>
      <c r="I529" s="91"/>
      <c r="J529" s="91"/>
      <c r="K529" s="91"/>
      <c r="L529" s="91"/>
      <c r="M529" s="91"/>
    </row>
    <row r="530" spans="2:13" ht="14.4" hidden="1" outlineLevel="1" x14ac:dyDescent="0.3">
      <c r="B530" s="425">
        <f t="shared" si="23"/>
        <v>49</v>
      </c>
      <c r="C530" s="95" t="s">
        <v>456</v>
      </c>
      <c r="D530" s="429" t="s">
        <v>796</v>
      </c>
      <c r="E530" s="429" t="s">
        <v>797</v>
      </c>
      <c r="F530" s="91"/>
      <c r="G530" s="91"/>
      <c r="H530" s="91"/>
      <c r="I530" s="91"/>
      <c r="J530" s="91"/>
      <c r="K530" s="91"/>
      <c r="L530" s="91"/>
      <c r="M530" s="91"/>
    </row>
    <row r="531" spans="2:13" ht="14.4" hidden="1" outlineLevel="1" x14ac:dyDescent="0.3">
      <c r="B531" s="425">
        <f t="shared" si="23"/>
        <v>50</v>
      </c>
      <c r="C531" s="95" t="s">
        <v>456</v>
      </c>
      <c r="D531" s="429" t="s">
        <v>796</v>
      </c>
      <c r="E531" s="429" t="s">
        <v>797</v>
      </c>
      <c r="F531" s="91"/>
      <c r="G531" s="91"/>
      <c r="H531" s="91"/>
      <c r="I531" s="91"/>
      <c r="J531" s="91"/>
      <c r="K531" s="91"/>
      <c r="L531" s="91"/>
      <c r="M531" s="91"/>
    </row>
    <row r="532" spans="2:13" ht="14.4" hidden="1" outlineLevel="1" x14ac:dyDescent="0.3">
      <c r="B532" s="425">
        <f t="shared" si="23"/>
        <v>51</v>
      </c>
      <c r="C532" s="95" t="s">
        <v>456</v>
      </c>
      <c r="D532" s="429" t="s">
        <v>796</v>
      </c>
      <c r="E532" s="429" t="s">
        <v>797</v>
      </c>
      <c r="F532" s="91"/>
      <c r="G532" s="91"/>
      <c r="H532" s="91"/>
      <c r="I532" s="91"/>
      <c r="J532" s="91"/>
      <c r="K532" s="91"/>
      <c r="L532" s="91"/>
      <c r="M532" s="91"/>
    </row>
    <row r="533" spans="2:13" ht="14.4" hidden="1" outlineLevel="1" x14ac:dyDescent="0.3">
      <c r="B533" s="425">
        <f t="shared" si="23"/>
        <v>52</v>
      </c>
      <c r="C533" s="95" t="s">
        <v>456</v>
      </c>
      <c r="D533" s="429" t="s">
        <v>796</v>
      </c>
      <c r="E533" s="429" t="s">
        <v>797</v>
      </c>
      <c r="F533" s="91"/>
      <c r="G533" s="91"/>
      <c r="H533" s="91"/>
      <c r="I533" s="91"/>
      <c r="J533" s="91"/>
      <c r="K533" s="91"/>
      <c r="L533" s="91"/>
      <c r="M533" s="91"/>
    </row>
    <row r="534" spans="2:13" ht="14.4" hidden="1" outlineLevel="1" x14ac:dyDescent="0.3">
      <c r="B534" s="425">
        <f t="shared" si="23"/>
        <v>53</v>
      </c>
      <c r="C534" s="95" t="s">
        <v>456</v>
      </c>
      <c r="D534" s="429" t="s">
        <v>796</v>
      </c>
      <c r="E534" s="429" t="s">
        <v>797</v>
      </c>
      <c r="F534" s="91"/>
      <c r="G534" s="91"/>
      <c r="H534" s="91"/>
      <c r="I534" s="91"/>
      <c r="J534" s="91"/>
      <c r="K534" s="91"/>
      <c r="L534" s="91"/>
      <c r="M534" s="91"/>
    </row>
    <row r="535" spans="2:13" ht="14.4" hidden="1" outlineLevel="1" x14ac:dyDescent="0.3">
      <c r="B535" s="425">
        <f t="shared" si="23"/>
        <v>54</v>
      </c>
      <c r="C535" s="95" t="s">
        <v>456</v>
      </c>
      <c r="D535" s="429" t="s">
        <v>796</v>
      </c>
      <c r="E535" s="429" t="s">
        <v>797</v>
      </c>
      <c r="F535" s="91"/>
      <c r="G535" s="91"/>
      <c r="H535" s="91"/>
      <c r="I535" s="91"/>
      <c r="J535" s="91"/>
      <c r="K535" s="91"/>
      <c r="L535" s="91"/>
      <c r="M535" s="91"/>
    </row>
    <row r="536" spans="2:13" ht="14.4" hidden="1" outlineLevel="1" x14ac:dyDescent="0.3">
      <c r="B536" s="425">
        <f t="shared" si="23"/>
        <v>55</v>
      </c>
      <c r="C536" s="95" t="s">
        <v>456</v>
      </c>
      <c r="D536" s="429" t="s">
        <v>796</v>
      </c>
      <c r="E536" s="429" t="s">
        <v>797</v>
      </c>
      <c r="F536" s="91"/>
      <c r="G536" s="91"/>
      <c r="H536" s="91"/>
      <c r="I536" s="91"/>
      <c r="J536" s="91"/>
      <c r="K536" s="91"/>
      <c r="L536" s="91"/>
      <c r="M536" s="91"/>
    </row>
    <row r="537" spans="2:13" ht="14.4" hidden="1" outlineLevel="1" x14ac:dyDescent="0.3">
      <c r="B537" s="425">
        <f t="shared" si="23"/>
        <v>56</v>
      </c>
      <c r="C537" s="95" t="s">
        <v>456</v>
      </c>
      <c r="D537" s="429" t="s">
        <v>796</v>
      </c>
      <c r="E537" s="429" t="s">
        <v>797</v>
      </c>
      <c r="F537" s="91"/>
      <c r="G537" s="91"/>
      <c r="H537" s="91"/>
      <c r="I537" s="91"/>
      <c r="J537" s="91"/>
      <c r="K537" s="91"/>
      <c r="L537" s="91"/>
      <c r="M537" s="91"/>
    </row>
    <row r="538" spans="2:13" ht="14.4" hidden="1" outlineLevel="1" x14ac:dyDescent="0.3">
      <c r="B538" s="425">
        <f t="shared" si="23"/>
        <v>57</v>
      </c>
      <c r="C538" s="95" t="s">
        <v>456</v>
      </c>
      <c r="D538" s="429" t="s">
        <v>796</v>
      </c>
      <c r="E538" s="429" t="s">
        <v>797</v>
      </c>
      <c r="F538" s="91"/>
      <c r="G538" s="91"/>
      <c r="H538" s="91"/>
      <c r="I538" s="91"/>
      <c r="J538" s="91"/>
      <c r="K538" s="91"/>
      <c r="L538" s="91"/>
      <c r="M538" s="91"/>
    </row>
    <row r="539" spans="2:13" ht="14.4" hidden="1" outlineLevel="1" x14ac:dyDescent="0.3">
      <c r="B539" s="425">
        <f t="shared" si="23"/>
        <v>58</v>
      </c>
      <c r="C539" s="95" t="s">
        <v>456</v>
      </c>
      <c r="D539" s="429" t="s">
        <v>796</v>
      </c>
      <c r="E539" s="429" t="s">
        <v>797</v>
      </c>
      <c r="F539" s="91"/>
      <c r="G539" s="91"/>
      <c r="H539" s="91"/>
      <c r="I539" s="91"/>
      <c r="J539" s="91"/>
      <c r="K539" s="91"/>
      <c r="L539" s="91"/>
      <c r="M539" s="91"/>
    </row>
    <row r="540" spans="2:13" ht="14.4" hidden="1" outlineLevel="1" x14ac:dyDescent="0.3">
      <c r="B540" s="425">
        <f t="shared" si="23"/>
        <v>59</v>
      </c>
      <c r="C540" s="95" t="s">
        <v>456</v>
      </c>
      <c r="D540" s="429" t="s">
        <v>796</v>
      </c>
      <c r="E540" s="429" t="s">
        <v>797</v>
      </c>
      <c r="F540" s="91"/>
      <c r="G540" s="91"/>
      <c r="H540" s="91"/>
      <c r="I540" s="91"/>
      <c r="J540" s="91"/>
      <c r="K540" s="91"/>
      <c r="L540" s="91"/>
      <c r="M540" s="91"/>
    </row>
    <row r="541" spans="2:13" ht="14.4" hidden="1" outlineLevel="1" x14ac:dyDescent="0.3">
      <c r="B541" s="425">
        <f t="shared" si="23"/>
        <v>60</v>
      </c>
      <c r="C541" s="95" t="s">
        <v>456</v>
      </c>
      <c r="D541" s="429" t="s">
        <v>796</v>
      </c>
      <c r="E541" s="429" t="s">
        <v>797</v>
      </c>
      <c r="F541" s="91"/>
      <c r="G541" s="91"/>
      <c r="H541" s="91"/>
      <c r="I541" s="91"/>
      <c r="J541" s="91"/>
      <c r="K541" s="91"/>
      <c r="L541" s="91"/>
      <c r="M541" s="91"/>
    </row>
    <row r="542" spans="2:13" ht="14.4" hidden="1" outlineLevel="1" x14ac:dyDescent="0.3">
      <c r="B542" s="425">
        <f t="shared" si="23"/>
        <v>61</v>
      </c>
      <c r="C542" s="95" t="s">
        <v>456</v>
      </c>
      <c r="D542" s="429" t="s">
        <v>796</v>
      </c>
      <c r="E542" s="429" t="s">
        <v>797</v>
      </c>
      <c r="F542" s="91"/>
      <c r="G542" s="91"/>
      <c r="H542" s="91"/>
      <c r="I542" s="91"/>
      <c r="J542" s="91"/>
      <c r="K542" s="91"/>
      <c r="L542" s="91"/>
      <c r="M542" s="91"/>
    </row>
    <row r="543" spans="2:13" ht="14.4" hidden="1" outlineLevel="1" x14ac:dyDescent="0.3">
      <c r="B543" s="425">
        <f t="shared" si="23"/>
        <v>62</v>
      </c>
      <c r="C543" s="95" t="s">
        <v>456</v>
      </c>
      <c r="D543" s="429" t="s">
        <v>796</v>
      </c>
      <c r="E543" s="429" t="s">
        <v>797</v>
      </c>
      <c r="F543" s="91"/>
      <c r="G543" s="91"/>
      <c r="H543" s="91"/>
      <c r="I543" s="91"/>
      <c r="J543" s="91"/>
      <c r="K543" s="91"/>
      <c r="L543" s="91"/>
      <c r="M543" s="91"/>
    </row>
    <row r="544" spans="2:13" ht="14.4" hidden="1" outlineLevel="1" x14ac:dyDescent="0.3">
      <c r="B544" s="425">
        <f t="shared" si="23"/>
        <v>63</v>
      </c>
      <c r="C544" s="95" t="s">
        <v>456</v>
      </c>
      <c r="D544" s="429" t="s">
        <v>796</v>
      </c>
      <c r="E544" s="429" t="s">
        <v>797</v>
      </c>
      <c r="F544" s="91"/>
      <c r="G544" s="91"/>
      <c r="H544" s="91"/>
      <c r="I544" s="91"/>
      <c r="J544" s="91"/>
      <c r="K544" s="91"/>
      <c r="L544" s="91"/>
      <c r="M544" s="91"/>
    </row>
    <row r="545" spans="2:13" ht="14.4" hidden="1" outlineLevel="1" x14ac:dyDescent="0.3">
      <c r="B545" s="425">
        <f t="shared" si="23"/>
        <v>64</v>
      </c>
      <c r="C545" s="95" t="s">
        <v>456</v>
      </c>
      <c r="D545" s="429" t="s">
        <v>796</v>
      </c>
      <c r="E545" s="429" t="s">
        <v>797</v>
      </c>
      <c r="F545" s="91"/>
      <c r="G545" s="91"/>
      <c r="H545" s="91"/>
      <c r="I545" s="91"/>
      <c r="J545" s="91"/>
      <c r="K545" s="91"/>
      <c r="L545" s="91"/>
      <c r="M545" s="91"/>
    </row>
    <row r="546" spans="2:13" ht="14.4" hidden="1" outlineLevel="1" x14ac:dyDescent="0.3">
      <c r="B546" s="425">
        <f t="shared" si="23"/>
        <v>65</v>
      </c>
      <c r="C546" s="95" t="s">
        <v>456</v>
      </c>
      <c r="D546" s="429" t="s">
        <v>796</v>
      </c>
      <c r="E546" s="429" t="s">
        <v>797</v>
      </c>
      <c r="F546" s="91"/>
      <c r="G546" s="91"/>
      <c r="H546" s="91"/>
      <c r="I546" s="91"/>
      <c r="J546" s="91"/>
      <c r="K546" s="91"/>
      <c r="L546" s="91"/>
      <c r="M546" s="91"/>
    </row>
    <row r="547" spans="2:13" ht="14.4" hidden="1" outlineLevel="1" x14ac:dyDescent="0.3">
      <c r="B547" s="425">
        <f t="shared" si="23"/>
        <v>66</v>
      </c>
      <c r="C547" s="95" t="s">
        <v>456</v>
      </c>
      <c r="D547" s="429" t="s">
        <v>796</v>
      </c>
      <c r="E547" s="429" t="s">
        <v>797</v>
      </c>
      <c r="F547" s="91"/>
      <c r="G547" s="91"/>
      <c r="H547" s="91"/>
      <c r="I547" s="91"/>
      <c r="J547" s="91"/>
      <c r="K547" s="91"/>
      <c r="L547" s="91"/>
      <c r="M547" s="91"/>
    </row>
    <row r="548" spans="2:13" ht="14.4" hidden="1" outlineLevel="1" x14ac:dyDescent="0.3">
      <c r="B548" s="425">
        <f t="shared" ref="B548:B561" si="24">1+B547</f>
        <v>67</v>
      </c>
      <c r="C548" s="95" t="s">
        <v>456</v>
      </c>
      <c r="D548" s="429" t="s">
        <v>796</v>
      </c>
      <c r="E548" s="429" t="s">
        <v>797</v>
      </c>
      <c r="F548" s="91"/>
      <c r="G548" s="91"/>
      <c r="H548" s="91"/>
      <c r="I548" s="91"/>
      <c r="J548" s="91"/>
      <c r="K548" s="91"/>
      <c r="L548" s="91"/>
      <c r="M548" s="91"/>
    </row>
    <row r="549" spans="2:13" ht="14.4" hidden="1" outlineLevel="1" x14ac:dyDescent="0.3">
      <c r="B549" s="425">
        <f t="shared" si="24"/>
        <v>68</v>
      </c>
      <c r="C549" s="95" t="s">
        <v>456</v>
      </c>
      <c r="D549" s="429" t="s">
        <v>796</v>
      </c>
      <c r="E549" s="429" t="s">
        <v>797</v>
      </c>
      <c r="F549" s="91"/>
      <c r="G549" s="91"/>
      <c r="H549" s="91"/>
      <c r="I549" s="91"/>
      <c r="J549" s="91"/>
      <c r="K549" s="91"/>
      <c r="L549" s="91"/>
      <c r="M549" s="91"/>
    </row>
    <row r="550" spans="2:13" ht="14.4" hidden="1" outlineLevel="1" x14ac:dyDescent="0.3">
      <c r="B550" s="425">
        <f t="shared" si="24"/>
        <v>69</v>
      </c>
      <c r="C550" s="95" t="s">
        <v>456</v>
      </c>
      <c r="D550" s="429" t="s">
        <v>796</v>
      </c>
      <c r="E550" s="429" t="s">
        <v>797</v>
      </c>
      <c r="F550" s="91"/>
      <c r="G550" s="91"/>
      <c r="H550" s="91"/>
      <c r="I550" s="91"/>
      <c r="J550" s="91"/>
      <c r="K550" s="91"/>
      <c r="L550" s="91"/>
      <c r="M550" s="91"/>
    </row>
    <row r="551" spans="2:13" ht="14.4" hidden="1" outlineLevel="1" x14ac:dyDescent="0.3">
      <c r="B551" s="425">
        <f t="shared" si="24"/>
        <v>70</v>
      </c>
      <c r="C551" s="95" t="s">
        <v>456</v>
      </c>
      <c r="D551" s="429" t="s">
        <v>796</v>
      </c>
      <c r="E551" s="429" t="s">
        <v>797</v>
      </c>
      <c r="F551" s="91"/>
      <c r="G551" s="91"/>
      <c r="H551" s="91"/>
      <c r="I551" s="91"/>
      <c r="J551" s="91"/>
      <c r="K551" s="91"/>
      <c r="L551" s="91"/>
      <c r="M551" s="91"/>
    </row>
    <row r="552" spans="2:13" ht="14.4" hidden="1" outlineLevel="1" x14ac:dyDescent="0.3">
      <c r="B552" s="425">
        <f t="shared" si="24"/>
        <v>71</v>
      </c>
      <c r="C552" s="95" t="s">
        <v>456</v>
      </c>
      <c r="D552" s="429" t="s">
        <v>796</v>
      </c>
      <c r="E552" s="429" t="s">
        <v>797</v>
      </c>
      <c r="F552" s="91"/>
      <c r="G552" s="91"/>
      <c r="H552" s="91"/>
      <c r="I552" s="91"/>
      <c r="J552" s="91"/>
      <c r="K552" s="91"/>
      <c r="L552" s="91"/>
      <c r="M552" s="91"/>
    </row>
    <row r="553" spans="2:13" ht="14.4" hidden="1" outlineLevel="1" x14ac:dyDescent="0.3">
      <c r="B553" s="425">
        <f t="shared" si="24"/>
        <v>72</v>
      </c>
      <c r="C553" s="95" t="s">
        <v>456</v>
      </c>
      <c r="D553" s="429" t="s">
        <v>796</v>
      </c>
      <c r="E553" s="429" t="s">
        <v>797</v>
      </c>
      <c r="F553" s="91"/>
      <c r="G553" s="91"/>
      <c r="H553" s="91"/>
      <c r="I553" s="91"/>
      <c r="J553" s="91"/>
      <c r="K553" s="91"/>
      <c r="L553" s="91"/>
      <c r="M553" s="91"/>
    </row>
    <row r="554" spans="2:13" ht="14.4" hidden="1" outlineLevel="1" x14ac:dyDescent="0.3">
      <c r="B554" s="425">
        <f t="shared" si="24"/>
        <v>73</v>
      </c>
      <c r="C554" s="95" t="s">
        <v>456</v>
      </c>
      <c r="D554" s="429" t="s">
        <v>796</v>
      </c>
      <c r="E554" s="429" t="s">
        <v>797</v>
      </c>
      <c r="F554" s="91"/>
      <c r="G554" s="91"/>
      <c r="H554" s="91"/>
      <c r="I554" s="91"/>
      <c r="J554" s="91"/>
      <c r="K554" s="91"/>
      <c r="L554" s="91"/>
      <c r="M554" s="91"/>
    </row>
    <row r="555" spans="2:13" ht="14.4" hidden="1" outlineLevel="1" x14ac:dyDescent="0.3">
      <c r="B555" s="425">
        <f t="shared" si="24"/>
        <v>74</v>
      </c>
      <c r="C555" s="95" t="s">
        <v>456</v>
      </c>
      <c r="D555" s="429" t="s">
        <v>796</v>
      </c>
      <c r="E555" s="429" t="s">
        <v>797</v>
      </c>
      <c r="F555" s="91"/>
      <c r="G555" s="91"/>
      <c r="H555" s="91"/>
      <c r="I555" s="91"/>
      <c r="J555" s="91"/>
      <c r="K555" s="91"/>
      <c r="L555" s="91"/>
      <c r="M555" s="91"/>
    </row>
    <row r="556" spans="2:13" ht="14.4" hidden="1" outlineLevel="1" x14ac:dyDescent="0.3">
      <c r="B556" s="425">
        <f t="shared" si="24"/>
        <v>75</v>
      </c>
      <c r="C556" s="95" t="s">
        <v>456</v>
      </c>
      <c r="D556" s="429" t="s">
        <v>796</v>
      </c>
      <c r="E556" s="429" t="s">
        <v>797</v>
      </c>
      <c r="F556" s="91"/>
      <c r="G556" s="91"/>
      <c r="H556" s="91"/>
      <c r="I556" s="91"/>
      <c r="J556" s="91"/>
      <c r="K556" s="91"/>
      <c r="L556" s="91"/>
      <c r="M556" s="91"/>
    </row>
    <row r="557" spans="2:13" ht="14.4" hidden="1" outlineLevel="1" x14ac:dyDescent="0.3">
      <c r="B557" s="425">
        <f t="shared" si="24"/>
        <v>76</v>
      </c>
      <c r="C557" s="95" t="s">
        <v>456</v>
      </c>
      <c r="D557" s="429" t="s">
        <v>796</v>
      </c>
      <c r="E557" s="429" t="s">
        <v>797</v>
      </c>
      <c r="F557" s="91"/>
      <c r="G557" s="91"/>
      <c r="H557" s="91"/>
      <c r="I557" s="91"/>
      <c r="J557" s="91"/>
      <c r="K557" s="91"/>
      <c r="L557" s="91"/>
      <c r="M557" s="91"/>
    </row>
    <row r="558" spans="2:13" ht="14.4" hidden="1" outlineLevel="1" x14ac:dyDescent="0.3">
      <c r="B558" s="425">
        <f t="shared" si="24"/>
        <v>77</v>
      </c>
      <c r="C558" s="95" t="s">
        <v>456</v>
      </c>
      <c r="D558" s="429" t="s">
        <v>796</v>
      </c>
      <c r="E558" s="429" t="s">
        <v>797</v>
      </c>
      <c r="F558" s="91"/>
      <c r="G558" s="91"/>
      <c r="H558" s="91"/>
      <c r="I558" s="91"/>
      <c r="J558" s="91"/>
      <c r="K558" s="91"/>
      <c r="L558" s="91"/>
      <c r="M558" s="91"/>
    </row>
    <row r="559" spans="2:13" ht="14.4" hidden="1" outlineLevel="1" x14ac:dyDescent="0.3">
      <c r="B559" s="425">
        <f t="shared" si="24"/>
        <v>78</v>
      </c>
      <c r="C559" s="95" t="s">
        <v>456</v>
      </c>
      <c r="D559" s="429" t="s">
        <v>796</v>
      </c>
      <c r="E559" s="429" t="s">
        <v>797</v>
      </c>
      <c r="F559" s="91"/>
      <c r="G559" s="91"/>
      <c r="H559" s="91"/>
      <c r="I559" s="91"/>
      <c r="J559" s="91"/>
      <c r="K559" s="91"/>
      <c r="L559" s="91"/>
      <c r="M559" s="91"/>
    </row>
    <row r="560" spans="2:13" ht="14.4" hidden="1" outlineLevel="1" x14ac:dyDescent="0.3">
      <c r="B560" s="425">
        <f t="shared" si="24"/>
        <v>79</v>
      </c>
      <c r="C560" s="95" t="s">
        <v>456</v>
      </c>
      <c r="D560" s="429" t="s">
        <v>796</v>
      </c>
      <c r="E560" s="429" t="s">
        <v>797</v>
      </c>
      <c r="F560" s="91"/>
      <c r="G560" s="91"/>
      <c r="H560" s="91"/>
      <c r="I560" s="91"/>
      <c r="J560" s="91"/>
      <c r="K560" s="91"/>
      <c r="L560" s="91"/>
      <c r="M560" s="91"/>
    </row>
    <row r="561" spans="2:15" ht="14.4" hidden="1" x14ac:dyDescent="0.3">
      <c r="B561" s="425">
        <f t="shared" si="24"/>
        <v>80</v>
      </c>
      <c r="C561" s="95" t="s">
        <v>456</v>
      </c>
      <c r="D561" s="429" t="s">
        <v>796</v>
      </c>
      <c r="E561" s="429" t="s">
        <v>797</v>
      </c>
      <c r="F561" s="91"/>
      <c r="G561" s="91"/>
      <c r="H561" s="91"/>
      <c r="I561" s="91"/>
      <c r="J561" s="91"/>
      <c r="K561" s="91"/>
      <c r="L561" s="91"/>
      <c r="M561" s="91"/>
    </row>
    <row r="562" spans="2:15" x14ac:dyDescent="0.2">
      <c r="B562" s="252"/>
      <c r="C562" s="252" t="s">
        <v>956</v>
      </c>
      <c r="D562" s="252"/>
      <c r="E562" s="252"/>
      <c r="F562" s="252"/>
      <c r="G562" s="252"/>
      <c r="H562" s="252"/>
      <c r="I562" s="500"/>
      <c r="J562" s="252"/>
      <c r="K562" s="252"/>
      <c r="L562" s="252"/>
      <c r="M562" s="500"/>
      <c r="N562" s="252"/>
      <c r="O562" s="252"/>
    </row>
    <row r="563" spans="2:15" x14ac:dyDescent="0.2">
      <c r="B563" s="252"/>
      <c r="C563" t="s">
        <v>798</v>
      </c>
      <c r="D563" s="252"/>
      <c r="E563" s="252"/>
      <c r="F563" s="252"/>
      <c r="G563" s="252"/>
      <c r="H563" s="252"/>
      <c r="I563" s="252"/>
      <c r="J563" s="252"/>
      <c r="K563" s="252"/>
      <c r="L563" s="252"/>
      <c r="M563" s="252"/>
      <c r="N563" s="252"/>
      <c r="O563" s="252"/>
    </row>
    <row r="564" spans="2:15" x14ac:dyDescent="0.2">
      <c r="B564" s="252"/>
      <c r="C564" s="252"/>
      <c r="D564" s="252"/>
      <c r="E564" s="252"/>
      <c r="F564" s="252"/>
      <c r="G564" s="252"/>
      <c r="H564" s="252"/>
      <c r="I564" s="252"/>
      <c r="J564" s="252"/>
      <c r="K564" s="252"/>
    </row>
    <row r="565" spans="2:15" ht="15.6" x14ac:dyDescent="0.2">
      <c r="B565" s="252"/>
      <c r="C565" s="9" t="s">
        <v>966</v>
      </c>
      <c r="D565" s="252"/>
      <c r="E565" s="252"/>
      <c r="F565" s="252"/>
      <c r="G565" s="252"/>
      <c r="H565" s="252"/>
      <c r="I565" s="252"/>
      <c r="J565" s="252"/>
      <c r="K565" s="252"/>
      <c r="L565" s="252"/>
    </row>
    <row r="566" spans="2:15" x14ac:dyDescent="0.2">
      <c r="B566" s="252"/>
      <c r="C566" s="96" t="s">
        <v>800</v>
      </c>
      <c r="G566" s="252"/>
      <c r="H566" s="252"/>
      <c r="I566" s="252"/>
      <c r="J566" s="252"/>
      <c r="K566" s="252"/>
      <c r="L566" s="252"/>
    </row>
    <row r="567" spans="2:15" x14ac:dyDescent="0.2">
      <c r="B567" s="252"/>
      <c r="C567" s="96" t="s">
        <v>1025</v>
      </c>
      <c r="G567" s="252"/>
      <c r="H567" s="252"/>
      <c r="I567" s="252"/>
      <c r="J567" s="252"/>
      <c r="K567" s="252"/>
      <c r="L567" s="252"/>
    </row>
    <row r="568" spans="2:15" x14ac:dyDescent="0.2">
      <c r="B568" s="252"/>
      <c r="C568" s="460" t="s">
        <v>1058</v>
      </c>
      <c r="D568" s="103"/>
      <c r="E568" s="103"/>
      <c r="F568" s="460"/>
      <c r="G568" s="252"/>
      <c r="H568" s="252"/>
      <c r="I568" s="252"/>
      <c r="J568" s="252"/>
      <c r="K568" s="252"/>
      <c r="L568" s="252"/>
    </row>
    <row r="569" spans="2:15" x14ac:dyDescent="0.2">
      <c r="B569" s="252"/>
      <c r="C569" s="96"/>
      <c r="F569">
        <f>F571+F572</f>
        <v>1544677</v>
      </c>
      <c r="G569">
        <f>G571+G572</f>
        <v>1767830</v>
      </c>
      <c r="H569" s="252"/>
      <c r="I569" s="252"/>
      <c r="J569" s="252"/>
      <c r="K569" s="252"/>
      <c r="L569" s="252"/>
    </row>
    <row r="570" spans="2:15" ht="12" x14ac:dyDescent="0.2">
      <c r="B570" s="252"/>
      <c r="C570" s="418" t="s">
        <v>456</v>
      </c>
      <c r="D570" s="418" t="s">
        <v>457</v>
      </c>
      <c r="E570" s="418" t="s">
        <v>458</v>
      </c>
      <c r="F570" s="464">
        <v>2024</v>
      </c>
      <c r="G570" s="464">
        <v>2025</v>
      </c>
      <c r="H570" s="418" t="s">
        <v>493</v>
      </c>
    </row>
    <row r="571" spans="2:15" ht="14.4" x14ac:dyDescent="0.3">
      <c r="B571" s="425">
        <v>1</v>
      </c>
      <c r="C571" s="95" t="s">
        <v>168</v>
      </c>
      <c r="D571" s="429" t="s">
        <v>351</v>
      </c>
      <c r="E571" s="429" t="s">
        <v>326</v>
      </c>
      <c r="F571" s="586">
        <v>1076889</v>
      </c>
      <c r="G571" s="586">
        <v>1391160</v>
      </c>
      <c r="H571" s="91"/>
      <c r="I571" s="126"/>
      <c r="J571" s="126"/>
    </row>
    <row r="572" spans="2:15" ht="14.4" x14ac:dyDescent="0.3">
      <c r="B572" s="425">
        <f>1+B571</f>
        <v>2</v>
      </c>
      <c r="C572" s="95" t="s">
        <v>165</v>
      </c>
      <c r="D572" s="429" t="s">
        <v>350</v>
      </c>
      <c r="E572" s="429" t="s">
        <v>326</v>
      </c>
      <c r="F572" s="586">
        <v>467788</v>
      </c>
      <c r="G572" s="586">
        <v>376670</v>
      </c>
      <c r="H572" s="91"/>
      <c r="I572" s="126"/>
      <c r="J572" s="126"/>
    </row>
    <row r="573" spans="2:15" ht="14.4" x14ac:dyDescent="0.3">
      <c r="B573" s="425">
        <f t="shared" ref="B573:B636" si="25">1+B572</f>
        <v>3</v>
      </c>
      <c r="C573" s="95" t="s">
        <v>814</v>
      </c>
      <c r="D573" s="429" t="s">
        <v>350</v>
      </c>
      <c r="E573" s="429" t="s">
        <v>326</v>
      </c>
      <c r="F573" s="586">
        <v>64</v>
      </c>
      <c r="G573" s="586">
        <v>48</v>
      </c>
      <c r="H573" s="91"/>
    </row>
    <row r="574" spans="2:15" ht="14.4" x14ac:dyDescent="0.3">
      <c r="B574" s="425">
        <f t="shared" si="25"/>
        <v>4</v>
      </c>
      <c r="C574" s="95" t="s">
        <v>816</v>
      </c>
      <c r="D574" s="429" t="s">
        <v>350</v>
      </c>
      <c r="E574" s="429" t="s">
        <v>326</v>
      </c>
      <c r="F574" s="586">
        <v>410</v>
      </c>
      <c r="G574" s="586">
        <v>411</v>
      </c>
      <c r="H574" s="91"/>
    </row>
    <row r="575" spans="2:15" ht="14.4" x14ac:dyDescent="0.3">
      <c r="B575" s="425">
        <f t="shared" si="25"/>
        <v>5</v>
      </c>
      <c r="C575" s="95" t="s">
        <v>817</v>
      </c>
      <c r="D575" s="429" t="s">
        <v>350</v>
      </c>
      <c r="E575" s="429" t="s">
        <v>326</v>
      </c>
      <c r="F575" s="586">
        <v>808</v>
      </c>
      <c r="G575" s="586">
        <v>551</v>
      </c>
      <c r="H575" s="91"/>
    </row>
    <row r="576" spans="2:15" ht="14.4" x14ac:dyDescent="0.3">
      <c r="B576" s="425">
        <f t="shared" si="25"/>
        <v>6</v>
      </c>
      <c r="C576" s="95" t="s">
        <v>826</v>
      </c>
      <c r="D576" s="429" t="s">
        <v>350</v>
      </c>
      <c r="E576" s="429" t="s">
        <v>326</v>
      </c>
      <c r="F576" s="586">
        <v>729</v>
      </c>
      <c r="G576" s="586">
        <v>458</v>
      </c>
      <c r="H576" s="91"/>
    </row>
    <row r="577" spans="2:8" ht="14.4" x14ac:dyDescent="0.3">
      <c r="B577" s="425">
        <f t="shared" si="25"/>
        <v>7</v>
      </c>
      <c r="C577" s="95" t="s">
        <v>827</v>
      </c>
      <c r="D577" s="429" t="s">
        <v>350</v>
      </c>
      <c r="E577" s="429" t="s">
        <v>326</v>
      </c>
      <c r="F577" s="586">
        <v>14</v>
      </c>
      <c r="G577" s="586">
        <v>13</v>
      </c>
      <c r="H577" s="91"/>
    </row>
    <row r="578" spans="2:8" ht="14.4" x14ac:dyDescent="0.3">
      <c r="B578" s="425">
        <f t="shared" si="25"/>
        <v>8</v>
      </c>
      <c r="C578" s="95" t="s">
        <v>828</v>
      </c>
      <c r="D578" s="429" t="s">
        <v>350</v>
      </c>
      <c r="E578" s="429" t="s">
        <v>326</v>
      </c>
      <c r="F578" s="586">
        <v>20</v>
      </c>
      <c r="G578" s="586">
        <v>14</v>
      </c>
      <c r="H578" s="91"/>
    </row>
    <row r="579" spans="2:8" ht="14.4" x14ac:dyDescent="0.3">
      <c r="B579" s="425">
        <f t="shared" si="25"/>
        <v>9</v>
      </c>
      <c r="C579" s="95" t="s">
        <v>829</v>
      </c>
      <c r="D579" s="429" t="s">
        <v>351</v>
      </c>
      <c r="E579" s="429" t="s">
        <v>326</v>
      </c>
      <c r="F579" s="586">
        <v>51</v>
      </c>
      <c r="G579" s="586">
        <v>37</v>
      </c>
      <c r="H579" s="91"/>
    </row>
    <row r="580" spans="2:8" ht="14.7" customHeight="1" outlineLevel="1" x14ac:dyDescent="0.3">
      <c r="B580" s="425">
        <f t="shared" si="25"/>
        <v>10</v>
      </c>
      <c r="C580" s="95" t="s">
        <v>831</v>
      </c>
      <c r="D580" s="429" t="s">
        <v>350</v>
      </c>
      <c r="E580" s="429" t="s">
        <v>326</v>
      </c>
      <c r="F580" s="586">
        <v>1107</v>
      </c>
      <c r="G580" s="586">
        <v>826</v>
      </c>
      <c r="H580" s="91"/>
    </row>
    <row r="581" spans="2:8" ht="14.7" customHeight="1" outlineLevel="1" x14ac:dyDescent="0.3">
      <c r="B581" s="425">
        <f t="shared" si="25"/>
        <v>11</v>
      </c>
      <c r="C581" s="95" t="s">
        <v>832</v>
      </c>
      <c r="D581" s="429" t="s">
        <v>350</v>
      </c>
      <c r="E581" s="429" t="s">
        <v>326</v>
      </c>
      <c r="F581" s="586">
        <v>963</v>
      </c>
      <c r="G581" s="586">
        <v>932</v>
      </c>
      <c r="H581" s="91"/>
    </row>
    <row r="582" spans="2:8" ht="14.7" customHeight="1" outlineLevel="1" x14ac:dyDescent="0.3">
      <c r="B582" s="425">
        <f t="shared" si="25"/>
        <v>12</v>
      </c>
      <c r="C582" s="95" t="s">
        <v>382</v>
      </c>
      <c r="D582" s="429" t="s">
        <v>350</v>
      </c>
      <c r="E582" s="429" t="s">
        <v>326</v>
      </c>
      <c r="F582" s="586">
        <v>399</v>
      </c>
      <c r="G582" s="586">
        <v>413</v>
      </c>
      <c r="H582" s="91"/>
    </row>
    <row r="583" spans="2:8" ht="14.7" customHeight="1" outlineLevel="1" x14ac:dyDescent="0.3">
      <c r="B583" s="425">
        <f t="shared" si="25"/>
        <v>13</v>
      </c>
      <c r="C583" s="95" t="s">
        <v>833</v>
      </c>
      <c r="D583" s="429" t="s">
        <v>351</v>
      </c>
      <c r="E583" s="429" t="s">
        <v>326</v>
      </c>
      <c r="F583" s="586">
        <v>5503</v>
      </c>
      <c r="G583" s="586">
        <v>3089</v>
      </c>
      <c r="H583" s="91"/>
    </row>
    <row r="584" spans="2:8" ht="14.7" customHeight="1" outlineLevel="1" x14ac:dyDescent="0.3">
      <c r="B584" s="425">
        <f t="shared" si="25"/>
        <v>14</v>
      </c>
      <c r="C584" s="95" t="s">
        <v>715</v>
      </c>
      <c r="D584" s="429" t="s">
        <v>351</v>
      </c>
      <c r="E584" s="429" t="s">
        <v>326</v>
      </c>
      <c r="F584" s="586">
        <v>922</v>
      </c>
      <c r="G584" s="586">
        <v>639</v>
      </c>
      <c r="H584" s="91"/>
    </row>
    <row r="585" spans="2:8" ht="14.7" customHeight="1" outlineLevel="1" x14ac:dyDescent="0.3">
      <c r="B585" s="425">
        <f t="shared" si="25"/>
        <v>15</v>
      </c>
      <c r="C585" s="95" t="s">
        <v>716</v>
      </c>
      <c r="D585" s="429" t="s">
        <v>351</v>
      </c>
      <c r="E585" s="429" t="s">
        <v>326</v>
      </c>
      <c r="F585" s="586">
        <v>1301</v>
      </c>
      <c r="G585" s="586">
        <v>1024</v>
      </c>
      <c r="H585" s="91"/>
    </row>
    <row r="586" spans="2:8" ht="14.7" customHeight="1" outlineLevel="1" x14ac:dyDescent="0.3">
      <c r="B586" s="425">
        <f t="shared" si="25"/>
        <v>16</v>
      </c>
      <c r="C586" s="95" t="s">
        <v>835</v>
      </c>
      <c r="D586" s="429" t="s">
        <v>350</v>
      </c>
      <c r="E586" s="429" t="s">
        <v>326</v>
      </c>
      <c r="F586" s="586">
        <v>1441</v>
      </c>
      <c r="G586" s="586">
        <v>1366</v>
      </c>
      <c r="H586" s="91"/>
    </row>
    <row r="587" spans="2:8" ht="14.7" customHeight="1" outlineLevel="1" x14ac:dyDescent="0.3">
      <c r="B587" s="425">
        <f t="shared" si="25"/>
        <v>17</v>
      </c>
      <c r="C587" s="95" t="s">
        <v>837</v>
      </c>
      <c r="D587" s="429" t="s">
        <v>350</v>
      </c>
      <c r="E587" s="429" t="s">
        <v>326</v>
      </c>
      <c r="F587" s="586">
        <v>101</v>
      </c>
      <c r="G587" s="586">
        <v>52</v>
      </c>
      <c r="H587" s="91"/>
    </row>
    <row r="588" spans="2:8" ht="14.7" customHeight="1" outlineLevel="1" x14ac:dyDescent="0.3">
      <c r="B588" s="425">
        <f t="shared" si="25"/>
        <v>18</v>
      </c>
      <c r="C588" s="95" t="s">
        <v>838</v>
      </c>
      <c r="D588" s="429" t="s">
        <v>350</v>
      </c>
      <c r="E588" s="429" t="s">
        <v>326</v>
      </c>
      <c r="F588" s="586">
        <v>44</v>
      </c>
      <c r="G588" s="586">
        <v>30</v>
      </c>
      <c r="H588" s="91"/>
    </row>
    <row r="589" spans="2:8" ht="14.7" customHeight="1" outlineLevel="1" x14ac:dyDescent="0.3">
      <c r="B589" s="425">
        <f t="shared" si="25"/>
        <v>19</v>
      </c>
      <c r="C589" s="95" t="s">
        <v>713</v>
      </c>
      <c r="D589" s="429" t="s">
        <v>351</v>
      </c>
      <c r="E589" s="429" t="s">
        <v>326</v>
      </c>
      <c r="F589" s="586">
        <v>1396</v>
      </c>
      <c r="G589" s="586">
        <v>1281</v>
      </c>
      <c r="H589" s="91"/>
    </row>
    <row r="590" spans="2:8" ht="14.7" customHeight="1" outlineLevel="1" x14ac:dyDescent="0.3">
      <c r="B590" s="425">
        <f t="shared" si="25"/>
        <v>20</v>
      </c>
      <c r="C590" s="95" t="s">
        <v>714</v>
      </c>
      <c r="D590" s="429" t="s">
        <v>351</v>
      </c>
      <c r="E590" s="429" t="s">
        <v>326</v>
      </c>
      <c r="F590" s="586">
        <v>467</v>
      </c>
      <c r="G590" s="586">
        <v>344</v>
      </c>
      <c r="H590" s="91"/>
    </row>
    <row r="591" spans="2:8" ht="14.7" customHeight="1" outlineLevel="1" x14ac:dyDescent="0.3">
      <c r="B591" s="425">
        <f t="shared" si="25"/>
        <v>21</v>
      </c>
      <c r="C591" s="95" t="s">
        <v>712</v>
      </c>
      <c r="D591" s="429" t="s">
        <v>351</v>
      </c>
      <c r="E591" s="429" t="s">
        <v>326</v>
      </c>
      <c r="F591" s="586">
        <v>1436</v>
      </c>
      <c r="G591" s="586">
        <v>760</v>
      </c>
      <c r="H591" s="91"/>
    </row>
    <row r="592" spans="2:8" ht="14.7" customHeight="1" outlineLevel="1" x14ac:dyDescent="0.3">
      <c r="B592" s="425">
        <f t="shared" si="25"/>
        <v>22</v>
      </c>
      <c r="C592" s="95" t="s">
        <v>839</v>
      </c>
      <c r="D592" s="429" t="s">
        <v>806</v>
      </c>
      <c r="E592" s="429" t="s">
        <v>326</v>
      </c>
      <c r="F592" s="586">
        <v>0</v>
      </c>
      <c r="G592" s="586">
        <v>0</v>
      </c>
      <c r="H592" s="91"/>
    </row>
    <row r="593" spans="2:8" ht="14.7" customHeight="1" outlineLevel="1" x14ac:dyDescent="0.3">
      <c r="B593" s="425">
        <f t="shared" si="25"/>
        <v>23</v>
      </c>
      <c r="C593" s="95" t="s">
        <v>843</v>
      </c>
      <c r="D593" s="429" t="s">
        <v>351</v>
      </c>
      <c r="E593" s="429" t="s">
        <v>326</v>
      </c>
      <c r="F593" s="586">
        <v>365</v>
      </c>
      <c r="G593" s="586">
        <v>277</v>
      </c>
      <c r="H593" s="91"/>
    </row>
    <row r="594" spans="2:8" ht="14.7" customHeight="1" outlineLevel="1" x14ac:dyDescent="0.3">
      <c r="B594" s="425">
        <f t="shared" si="25"/>
        <v>24</v>
      </c>
      <c r="C594" s="95" t="s">
        <v>737</v>
      </c>
      <c r="D594" s="429" t="s">
        <v>806</v>
      </c>
      <c r="E594" s="429" t="s">
        <v>791</v>
      </c>
      <c r="F594" s="586">
        <v>29</v>
      </c>
      <c r="G594" s="586">
        <v>35</v>
      </c>
      <c r="H594" s="91"/>
    </row>
    <row r="595" spans="2:8" ht="14.7" customHeight="1" outlineLevel="1" x14ac:dyDescent="0.3">
      <c r="B595" s="425">
        <f t="shared" si="25"/>
        <v>25</v>
      </c>
      <c r="C595" s="95" t="s">
        <v>738</v>
      </c>
      <c r="D595" s="429" t="s">
        <v>806</v>
      </c>
      <c r="E595" s="429" t="s">
        <v>791</v>
      </c>
      <c r="F595" s="586">
        <v>1</v>
      </c>
      <c r="G595" s="586">
        <v>3</v>
      </c>
      <c r="H595" s="91"/>
    </row>
    <row r="596" spans="2:8" ht="14.7" customHeight="1" outlineLevel="1" x14ac:dyDescent="0.3">
      <c r="B596" s="425">
        <f t="shared" si="25"/>
        <v>26</v>
      </c>
      <c r="C596" s="95" t="s">
        <v>739</v>
      </c>
      <c r="D596" s="429" t="s">
        <v>806</v>
      </c>
      <c r="E596" s="429" t="s">
        <v>791</v>
      </c>
      <c r="F596" s="586">
        <v>3</v>
      </c>
      <c r="G596" s="586">
        <v>3</v>
      </c>
      <c r="H596" s="91"/>
    </row>
    <row r="597" spans="2:8" ht="14.7" customHeight="1" outlineLevel="1" x14ac:dyDescent="0.3">
      <c r="B597" s="425">
        <f t="shared" si="25"/>
        <v>27</v>
      </c>
      <c r="C597" s="95" t="s">
        <v>740</v>
      </c>
      <c r="D597" s="429" t="s">
        <v>806</v>
      </c>
      <c r="E597" s="429" t="s">
        <v>791</v>
      </c>
      <c r="F597" s="586">
        <v>13</v>
      </c>
      <c r="G597" s="586">
        <v>3</v>
      </c>
      <c r="H597" s="91"/>
    </row>
    <row r="598" spans="2:8" ht="14.7" customHeight="1" outlineLevel="1" x14ac:dyDescent="0.3">
      <c r="B598" s="425">
        <f t="shared" si="25"/>
        <v>28</v>
      </c>
      <c r="C598" s="95" t="s">
        <v>741</v>
      </c>
      <c r="D598" s="429" t="s">
        <v>806</v>
      </c>
      <c r="E598" s="429" t="s">
        <v>791</v>
      </c>
      <c r="F598" s="586">
        <v>0</v>
      </c>
      <c r="G598" s="586">
        <v>1</v>
      </c>
      <c r="H598" s="91"/>
    </row>
    <row r="599" spans="2:8" ht="14.7" customHeight="1" outlineLevel="1" x14ac:dyDescent="0.3">
      <c r="B599" s="425">
        <f t="shared" si="25"/>
        <v>29</v>
      </c>
      <c r="C599" s="95" t="s">
        <v>742</v>
      </c>
      <c r="D599" s="429" t="s">
        <v>806</v>
      </c>
      <c r="E599" s="429" t="s">
        <v>791</v>
      </c>
      <c r="F599" s="586">
        <v>0</v>
      </c>
      <c r="G599" s="586">
        <v>1</v>
      </c>
      <c r="H599" s="91"/>
    </row>
    <row r="600" spans="2:8" ht="14.7" customHeight="1" outlineLevel="1" x14ac:dyDescent="0.3">
      <c r="B600" s="425">
        <f t="shared" si="25"/>
        <v>30</v>
      </c>
      <c r="C600" s="95" t="s">
        <v>743</v>
      </c>
      <c r="D600" s="429" t="s">
        <v>806</v>
      </c>
      <c r="E600" s="429" t="s">
        <v>791</v>
      </c>
      <c r="F600" s="586">
        <v>64</v>
      </c>
      <c r="G600" s="586">
        <v>30</v>
      </c>
      <c r="H600" s="91"/>
    </row>
    <row r="601" spans="2:8" ht="14.7" customHeight="1" outlineLevel="1" x14ac:dyDescent="0.3">
      <c r="B601" s="425">
        <f t="shared" si="25"/>
        <v>31</v>
      </c>
      <c r="C601" s="95" t="s">
        <v>744</v>
      </c>
      <c r="D601" s="429" t="s">
        <v>806</v>
      </c>
      <c r="E601" s="429" t="s">
        <v>791</v>
      </c>
      <c r="F601" s="586">
        <v>1</v>
      </c>
      <c r="G601" s="586">
        <v>2</v>
      </c>
      <c r="H601" s="91"/>
    </row>
    <row r="602" spans="2:8" ht="14.7" customHeight="1" outlineLevel="1" x14ac:dyDescent="0.3">
      <c r="B602" s="425">
        <f t="shared" si="25"/>
        <v>32</v>
      </c>
      <c r="C602" s="95" t="s">
        <v>745</v>
      </c>
      <c r="D602" s="429" t="s">
        <v>806</v>
      </c>
      <c r="E602" s="429" t="s">
        <v>791</v>
      </c>
      <c r="F602" s="586">
        <v>2</v>
      </c>
      <c r="G602" s="586">
        <v>4</v>
      </c>
      <c r="H602" s="91"/>
    </row>
    <row r="603" spans="2:8" ht="14.7" customHeight="1" outlineLevel="1" x14ac:dyDescent="0.3">
      <c r="B603" s="425">
        <f t="shared" si="25"/>
        <v>33</v>
      </c>
      <c r="C603" s="95" t="s">
        <v>746</v>
      </c>
      <c r="D603" s="429" t="s">
        <v>350</v>
      </c>
      <c r="E603" s="429" t="s">
        <v>791</v>
      </c>
      <c r="F603" s="586">
        <v>20</v>
      </c>
      <c r="G603" s="586">
        <v>12</v>
      </c>
      <c r="H603" s="91"/>
    </row>
    <row r="604" spans="2:8" ht="14.7" customHeight="1" outlineLevel="1" x14ac:dyDescent="0.3">
      <c r="B604" s="425">
        <f t="shared" si="25"/>
        <v>34</v>
      </c>
      <c r="C604" s="95" t="s">
        <v>747</v>
      </c>
      <c r="D604" s="429" t="s">
        <v>350</v>
      </c>
      <c r="E604" s="429" t="s">
        <v>791</v>
      </c>
      <c r="F604" s="586">
        <v>2</v>
      </c>
      <c r="G604" s="586">
        <v>0</v>
      </c>
      <c r="H604" s="91"/>
    </row>
    <row r="605" spans="2:8" ht="14.7" customHeight="1" outlineLevel="1" x14ac:dyDescent="0.3">
      <c r="B605" s="425">
        <f t="shared" si="25"/>
        <v>35</v>
      </c>
      <c r="C605" s="95" t="s">
        <v>748</v>
      </c>
      <c r="D605" s="429" t="s">
        <v>350</v>
      </c>
      <c r="E605" s="429" t="s">
        <v>791</v>
      </c>
      <c r="F605" s="586">
        <v>3</v>
      </c>
      <c r="G605" s="586">
        <v>0</v>
      </c>
      <c r="H605" s="91"/>
    </row>
    <row r="606" spans="2:8" ht="14.7" customHeight="1" outlineLevel="1" x14ac:dyDescent="0.3">
      <c r="B606" s="425">
        <f t="shared" si="25"/>
        <v>36</v>
      </c>
      <c r="C606" s="95" t="s">
        <v>749</v>
      </c>
      <c r="D606" s="429" t="s">
        <v>350</v>
      </c>
      <c r="E606" s="429" t="s">
        <v>791</v>
      </c>
      <c r="F606" s="586">
        <v>6</v>
      </c>
      <c r="G606" s="586">
        <v>3</v>
      </c>
      <c r="H606" s="91"/>
    </row>
    <row r="607" spans="2:8" ht="14.7" customHeight="1" outlineLevel="1" x14ac:dyDescent="0.3">
      <c r="B607" s="425">
        <f t="shared" si="25"/>
        <v>37</v>
      </c>
      <c r="C607" s="95" t="s">
        <v>750</v>
      </c>
      <c r="D607" s="429" t="s">
        <v>350</v>
      </c>
      <c r="E607" s="429" t="s">
        <v>791</v>
      </c>
      <c r="F607" s="586">
        <v>1</v>
      </c>
      <c r="G607" s="586">
        <v>0</v>
      </c>
      <c r="H607" s="91"/>
    </row>
    <row r="608" spans="2:8" ht="14.7" customHeight="1" outlineLevel="1" x14ac:dyDescent="0.3">
      <c r="B608" s="425">
        <f t="shared" si="25"/>
        <v>38</v>
      </c>
      <c r="C608" s="95" t="s">
        <v>751</v>
      </c>
      <c r="D608" s="429" t="s">
        <v>350</v>
      </c>
      <c r="E608" s="429" t="s">
        <v>791</v>
      </c>
      <c r="F608" s="586">
        <v>1</v>
      </c>
      <c r="G608" s="586">
        <v>1</v>
      </c>
      <c r="H608" s="91"/>
    </row>
    <row r="609" spans="2:8" ht="14.7" customHeight="1" outlineLevel="1" x14ac:dyDescent="0.3">
      <c r="B609" s="425">
        <f t="shared" si="25"/>
        <v>39</v>
      </c>
      <c r="C609" s="95" t="s">
        <v>752</v>
      </c>
      <c r="D609" s="429" t="s">
        <v>350</v>
      </c>
      <c r="E609" s="429" t="s">
        <v>791</v>
      </c>
      <c r="F609" s="586">
        <v>14</v>
      </c>
      <c r="G609" s="586">
        <v>7</v>
      </c>
      <c r="H609" s="91"/>
    </row>
    <row r="610" spans="2:8" ht="14.7" customHeight="1" outlineLevel="1" x14ac:dyDescent="0.3">
      <c r="B610" s="425">
        <f t="shared" si="25"/>
        <v>40</v>
      </c>
      <c r="C610" s="95" t="s">
        <v>753</v>
      </c>
      <c r="D610" s="429" t="s">
        <v>350</v>
      </c>
      <c r="E610" s="429" t="s">
        <v>791</v>
      </c>
      <c r="F610" s="586">
        <v>1</v>
      </c>
      <c r="G610" s="586">
        <v>0</v>
      </c>
      <c r="H610" s="91"/>
    </row>
    <row r="611" spans="2:8" ht="14.7" customHeight="1" outlineLevel="1" x14ac:dyDescent="0.3">
      <c r="B611" s="425">
        <f t="shared" si="25"/>
        <v>41</v>
      </c>
      <c r="C611" s="95" t="s">
        <v>754</v>
      </c>
      <c r="D611" s="429" t="s">
        <v>350</v>
      </c>
      <c r="E611" s="429" t="s">
        <v>791</v>
      </c>
      <c r="F611" s="586">
        <v>2</v>
      </c>
      <c r="G611" s="586">
        <v>1</v>
      </c>
      <c r="H611" s="91"/>
    </row>
    <row r="612" spans="2:8" ht="14.7" hidden="1" customHeight="1" outlineLevel="1" x14ac:dyDescent="0.3">
      <c r="B612" s="425">
        <f t="shared" si="25"/>
        <v>42</v>
      </c>
      <c r="C612" s="95" t="s">
        <v>456</v>
      </c>
      <c r="D612" s="429" t="s">
        <v>796</v>
      </c>
      <c r="E612" s="429" t="s">
        <v>797</v>
      </c>
      <c r="F612" s="91"/>
      <c r="G612" s="91"/>
      <c r="H612" s="91"/>
    </row>
    <row r="613" spans="2:8" ht="14.7" hidden="1" customHeight="1" outlineLevel="1" x14ac:dyDescent="0.3">
      <c r="B613" s="425">
        <f t="shared" si="25"/>
        <v>43</v>
      </c>
      <c r="C613" s="95" t="s">
        <v>456</v>
      </c>
      <c r="D613" s="429" t="s">
        <v>796</v>
      </c>
      <c r="E613" s="429" t="s">
        <v>797</v>
      </c>
      <c r="F613" s="91"/>
      <c r="G613" s="91"/>
      <c r="H613" s="91"/>
    </row>
    <row r="614" spans="2:8" ht="14.7" hidden="1" customHeight="1" outlineLevel="1" x14ac:dyDescent="0.3">
      <c r="B614" s="425">
        <f t="shared" si="25"/>
        <v>44</v>
      </c>
      <c r="C614" s="95" t="s">
        <v>456</v>
      </c>
      <c r="D614" s="429" t="s">
        <v>796</v>
      </c>
      <c r="E614" s="429" t="s">
        <v>797</v>
      </c>
      <c r="F614" s="91"/>
      <c r="G614" s="91"/>
      <c r="H614" s="91"/>
    </row>
    <row r="615" spans="2:8" ht="14.7" hidden="1" customHeight="1" outlineLevel="1" x14ac:dyDescent="0.3">
      <c r="B615" s="425">
        <f t="shared" si="25"/>
        <v>45</v>
      </c>
      <c r="C615" s="95" t="s">
        <v>456</v>
      </c>
      <c r="D615" s="429" t="s">
        <v>796</v>
      </c>
      <c r="E615" s="429" t="s">
        <v>797</v>
      </c>
      <c r="F615" s="91"/>
      <c r="G615" s="91"/>
      <c r="H615" s="91"/>
    </row>
    <row r="616" spans="2:8" ht="14.7" hidden="1" customHeight="1" outlineLevel="1" x14ac:dyDescent="0.3">
      <c r="B616" s="425">
        <f t="shared" si="25"/>
        <v>46</v>
      </c>
      <c r="C616" s="95" t="s">
        <v>456</v>
      </c>
      <c r="D616" s="429" t="s">
        <v>796</v>
      </c>
      <c r="E616" s="429" t="s">
        <v>797</v>
      </c>
      <c r="F616" s="91"/>
      <c r="G616" s="91"/>
      <c r="H616" s="91"/>
    </row>
    <row r="617" spans="2:8" ht="14.7" hidden="1" customHeight="1" outlineLevel="1" x14ac:dyDescent="0.3">
      <c r="B617" s="425">
        <f t="shared" si="25"/>
        <v>47</v>
      </c>
      <c r="C617" s="95" t="s">
        <v>456</v>
      </c>
      <c r="D617" s="429" t="s">
        <v>796</v>
      </c>
      <c r="E617" s="429" t="s">
        <v>797</v>
      </c>
      <c r="F617" s="91"/>
      <c r="G617" s="91"/>
      <c r="H617" s="91"/>
    </row>
    <row r="618" spans="2:8" ht="14.7" hidden="1" customHeight="1" outlineLevel="1" x14ac:dyDescent="0.3">
      <c r="B618" s="425">
        <f t="shared" si="25"/>
        <v>48</v>
      </c>
      <c r="C618" s="95" t="s">
        <v>456</v>
      </c>
      <c r="D618" s="429" t="s">
        <v>796</v>
      </c>
      <c r="E618" s="429" t="s">
        <v>797</v>
      </c>
      <c r="F618" s="91"/>
      <c r="G618" s="91"/>
      <c r="H618" s="91"/>
    </row>
    <row r="619" spans="2:8" ht="14.7" hidden="1" customHeight="1" outlineLevel="1" x14ac:dyDescent="0.3">
      <c r="B619" s="425">
        <f t="shared" si="25"/>
        <v>49</v>
      </c>
      <c r="C619" s="95" t="s">
        <v>456</v>
      </c>
      <c r="D619" s="429" t="s">
        <v>796</v>
      </c>
      <c r="E619" s="429" t="s">
        <v>797</v>
      </c>
      <c r="F619" s="91"/>
      <c r="G619" s="91"/>
      <c r="H619" s="91"/>
    </row>
    <row r="620" spans="2:8" ht="14.7" hidden="1" customHeight="1" outlineLevel="1" x14ac:dyDescent="0.3">
      <c r="B620" s="425">
        <f t="shared" si="25"/>
        <v>50</v>
      </c>
      <c r="C620" s="95" t="s">
        <v>456</v>
      </c>
      <c r="D620" s="429" t="s">
        <v>796</v>
      </c>
      <c r="E620" s="429" t="s">
        <v>797</v>
      </c>
      <c r="F620" s="91"/>
      <c r="G620" s="91"/>
      <c r="H620" s="91"/>
    </row>
    <row r="621" spans="2:8" ht="14.7" hidden="1" customHeight="1" outlineLevel="1" x14ac:dyDescent="0.3">
      <c r="B621" s="425">
        <f t="shared" si="25"/>
        <v>51</v>
      </c>
      <c r="C621" s="95" t="s">
        <v>456</v>
      </c>
      <c r="D621" s="429" t="s">
        <v>796</v>
      </c>
      <c r="E621" s="429" t="s">
        <v>797</v>
      </c>
      <c r="F621" s="91"/>
      <c r="G621" s="91"/>
      <c r="H621" s="91"/>
    </row>
    <row r="622" spans="2:8" ht="14.7" hidden="1" customHeight="1" outlineLevel="1" x14ac:dyDescent="0.3">
      <c r="B622" s="425">
        <f t="shared" si="25"/>
        <v>52</v>
      </c>
      <c r="C622" s="95" t="s">
        <v>456</v>
      </c>
      <c r="D622" s="429" t="s">
        <v>796</v>
      </c>
      <c r="E622" s="429" t="s">
        <v>797</v>
      </c>
      <c r="F622" s="91"/>
      <c r="G622" s="91"/>
      <c r="H622" s="91"/>
    </row>
    <row r="623" spans="2:8" ht="14.7" hidden="1" customHeight="1" outlineLevel="1" x14ac:dyDescent="0.3">
      <c r="B623" s="425">
        <f t="shared" si="25"/>
        <v>53</v>
      </c>
      <c r="C623" s="95" t="s">
        <v>456</v>
      </c>
      <c r="D623" s="429" t="s">
        <v>796</v>
      </c>
      <c r="E623" s="429" t="s">
        <v>797</v>
      </c>
      <c r="F623" s="91"/>
      <c r="G623" s="91"/>
      <c r="H623" s="91"/>
    </row>
    <row r="624" spans="2:8" ht="14.7" hidden="1" customHeight="1" outlineLevel="1" x14ac:dyDescent="0.3">
      <c r="B624" s="425">
        <f t="shared" si="25"/>
        <v>54</v>
      </c>
      <c r="C624" s="95" t="s">
        <v>456</v>
      </c>
      <c r="D624" s="429" t="s">
        <v>796</v>
      </c>
      <c r="E624" s="429" t="s">
        <v>797</v>
      </c>
      <c r="F624" s="91"/>
      <c r="G624" s="91"/>
      <c r="H624" s="91"/>
    </row>
    <row r="625" spans="2:8" ht="14.7" hidden="1" customHeight="1" outlineLevel="1" x14ac:dyDescent="0.3">
      <c r="B625" s="425">
        <f t="shared" si="25"/>
        <v>55</v>
      </c>
      <c r="C625" s="95" t="s">
        <v>456</v>
      </c>
      <c r="D625" s="429" t="s">
        <v>796</v>
      </c>
      <c r="E625" s="429" t="s">
        <v>797</v>
      </c>
      <c r="F625" s="91"/>
      <c r="G625" s="91"/>
      <c r="H625" s="91"/>
    </row>
    <row r="626" spans="2:8" ht="14.7" hidden="1" customHeight="1" outlineLevel="1" x14ac:dyDescent="0.3">
      <c r="B626" s="425">
        <f t="shared" si="25"/>
        <v>56</v>
      </c>
      <c r="C626" s="95" t="s">
        <v>456</v>
      </c>
      <c r="D626" s="429" t="s">
        <v>796</v>
      </c>
      <c r="E626" s="429" t="s">
        <v>797</v>
      </c>
      <c r="F626" s="91"/>
      <c r="G626" s="91"/>
      <c r="H626" s="91"/>
    </row>
    <row r="627" spans="2:8" ht="14.7" hidden="1" customHeight="1" outlineLevel="1" x14ac:dyDescent="0.3">
      <c r="B627" s="425">
        <f t="shared" si="25"/>
        <v>57</v>
      </c>
      <c r="C627" s="95" t="s">
        <v>456</v>
      </c>
      <c r="D627" s="429" t="s">
        <v>796</v>
      </c>
      <c r="E627" s="429" t="s">
        <v>797</v>
      </c>
      <c r="F627" s="91"/>
      <c r="G627" s="91"/>
      <c r="H627" s="91"/>
    </row>
    <row r="628" spans="2:8" ht="14.7" hidden="1" customHeight="1" outlineLevel="1" x14ac:dyDescent="0.3">
      <c r="B628" s="425">
        <f t="shared" si="25"/>
        <v>58</v>
      </c>
      <c r="C628" s="95" t="s">
        <v>456</v>
      </c>
      <c r="D628" s="429" t="s">
        <v>796</v>
      </c>
      <c r="E628" s="429" t="s">
        <v>797</v>
      </c>
      <c r="F628" s="91"/>
      <c r="G628" s="91"/>
      <c r="H628" s="91"/>
    </row>
    <row r="629" spans="2:8" ht="14.7" hidden="1" customHeight="1" outlineLevel="1" x14ac:dyDescent="0.3">
      <c r="B629" s="425">
        <f t="shared" si="25"/>
        <v>59</v>
      </c>
      <c r="C629" s="95" t="s">
        <v>456</v>
      </c>
      <c r="D629" s="429" t="s">
        <v>796</v>
      </c>
      <c r="E629" s="429" t="s">
        <v>797</v>
      </c>
      <c r="F629" s="91"/>
      <c r="G629" s="91"/>
      <c r="H629" s="91"/>
    </row>
    <row r="630" spans="2:8" ht="14.7" hidden="1" customHeight="1" outlineLevel="1" x14ac:dyDescent="0.3">
      <c r="B630" s="425">
        <f t="shared" si="25"/>
        <v>60</v>
      </c>
      <c r="C630" s="95" t="s">
        <v>456</v>
      </c>
      <c r="D630" s="429" t="s">
        <v>796</v>
      </c>
      <c r="E630" s="429" t="s">
        <v>797</v>
      </c>
      <c r="F630" s="91"/>
      <c r="G630" s="91"/>
      <c r="H630" s="91"/>
    </row>
    <row r="631" spans="2:8" ht="14.7" hidden="1" customHeight="1" outlineLevel="1" x14ac:dyDescent="0.3">
      <c r="B631" s="425">
        <f t="shared" si="25"/>
        <v>61</v>
      </c>
      <c r="C631" s="95" t="s">
        <v>456</v>
      </c>
      <c r="D631" s="429" t="s">
        <v>796</v>
      </c>
      <c r="E631" s="429" t="s">
        <v>797</v>
      </c>
      <c r="F631" s="91"/>
      <c r="G631" s="91"/>
      <c r="H631" s="91"/>
    </row>
    <row r="632" spans="2:8" ht="14.7" hidden="1" customHeight="1" outlineLevel="1" x14ac:dyDescent="0.3">
      <c r="B632" s="425">
        <f t="shared" si="25"/>
        <v>62</v>
      </c>
      <c r="C632" s="95" t="s">
        <v>456</v>
      </c>
      <c r="D632" s="429" t="s">
        <v>796</v>
      </c>
      <c r="E632" s="429" t="s">
        <v>797</v>
      </c>
      <c r="F632" s="91"/>
      <c r="G632" s="91"/>
      <c r="H632" s="91"/>
    </row>
    <row r="633" spans="2:8" ht="14.7" hidden="1" customHeight="1" outlineLevel="1" x14ac:dyDescent="0.3">
      <c r="B633" s="425">
        <f t="shared" si="25"/>
        <v>63</v>
      </c>
      <c r="C633" s="95" t="s">
        <v>456</v>
      </c>
      <c r="D633" s="429" t="s">
        <v>796</v>
      </c>
      <c r="E633" s="429" t="s">
        <v>797</v>
      </c>
      <c r="F633" s="91"/>
      <c r="G633" s="91"/>
      <c r="H633" s="91"/>
    </row>
    <row r="634" spans="2:8" ht="14.7" hidden="1" customHeight="1" outlineLevel="1" x14ac:dyDescent="0.3">
      <c r="B634" s="425">
        <f t="shared" si="25"/>
        <v>64</v>
      </c>
      <c r="C634" s="95" t="s">
        <v>456</v>
      </c>
      <c r="D634" s="429" t="s">
        <v>796</v>
      </c>
      <c r="E634" s="429" t="s">
        <v>797</v>
      </c>
      <c r="F634" s="91"/>
      <c r="G634" s="91"/>
      <c r="H634" s="91"/>
    </row>
    <row r="635" spans="2:8" ht="14.7" hidden="1" customHeight="1" outlineLevel="1" x14ac:dyDescent="0.3">
      <c r="B635" s="425">
        <f t="shared" si="25"/>
        <v>65</v>
      </c>
      <c r="C635" s="95" t="s">
        <v>456</v>
      </c>
      <c r="D635" s="429" t="s">
        <v>796</v>
      </c>
      <c r="E635" s="429" t="s">
        <v>797</v>
      </c>
      <c r="F635" s="91"/>
      <c r="G635" s="91"/>
      <c r="H635" s="91"/>
    </row>
    <row r="636" spans="2:8" ht="14.7" hidden="1" customHeight="1" outlineLevel="1" x14ac:dyDescent="0.3">
      <c r="B636" s="425">
        <f t="shared" si="25"/>
        <v>66</v>
      </c>
      <c r="C636" s="95" t="s">
        <v>456</v>
      </c>
      <c r="D636" s="429" t="s">
        <v>796</v>
      </c>
      <c r="E636" s="429" t="s">
        <v>797</v>
      </c>
      <c r="F636" s="91"/>
      <c r="G636" s="91"/>
      <c r="H636" s="91"/>
    </row>
    <row r="637" spans="2:8" ht="14.7" hidden="1" customHeight="1" outlineLevel="1" x14ac:dyDescent="0.3">
      <c r="B637" s="425">
        <f t="shared" ref="B637:B650" si="26">1+B636</f>
        <v>67</v>
      </c>
      <c r="C637" s="95" t="s">
        <v>456</v>
      </c>
      <c r="D637" s="429" t="s">
        <v>796</v>
      </c>
      <c r="E637" s="429" t="s">
        <v>797</v>
      </c>
      <c r="F637" s="91"/>
      <c r="G637" s="91"/>
      <c r="H637" s="91"/>
    </row>
    <row r="638" spans="2:8" ht="14.7" hidden="1" customHeight="1" outlineLevel="1" x14ac:dyDescent="0.3">
      <c r="B638" s="425">
        <f t="shared" si="26"/>
        <v>68</v>
      </c>
      <c r="C638" s="95" t="s">
        <v>456</v>
      </c>
      <c r="D638" s="429" t="s">
        <v>796</v>
      </c>
      <c r="E638" s="429" t="s">
        <v>797</v>
      </c>
      <c r="F638" s="91"/>
      <c r="G638" s="91"/>
      <c r="H638" s="91"/>
    </row>
    <row r="639" spans="2:8" ht="14.7" hidden="1" customHeight="1" outlineLevel="1" x14ac:dyDescent="0.3">
      <c r="B639" s="425">
        <f t="shared" si="26"/>
        <v>69</v>
      </c>
      <c r="C639" s="95" t="s">
        <v>456</v>
      </c>
      <c r="D639" s="429" t="s">
        <v>796</v>
      </c>
      <c r="E639" s="429" t="s">
        <v>797</v>
      </c>
      <c r="F639" s="91"/>
      <c r="G639" s="91"/>
      <c r="H639" s="91"/>
    </row>
    <row r="640" spans="2:8" ht="14.7" hidden="1" customHeight="1" outlineLevel="1" x14ac:dyDescent="0.3">
      <c r="B640" s="425">
        <f t="shared" si="26"/>
        <v>70</v>
      </c>
      <c r="C640" s="95" t="s">
        <v>456</v>
      </c>
      <c r="D640" s="429" t="s">
        <v>796</v>
      </c>
      <c r="E640" s="429" t="s">
        <v>797</v>
      </c>
      <c r="F640" s="91"/>
      <c r="G640" s="91"/>
      <c r="H640" s="91"/>
    </row>
    <row r="641" spans="2:12" ht="14.7" hidden="1" customHeight="1" outlineLevel="1" x14ac:dyDescent="0.3">
      <c r="B641" s="425">
        <f t="shared" si="26"/>
        <v>71</v>
      </c>
      <c r="C641" s="95" t="s">
        <v>456</v>
      </c>
      <c r="D641" s="429" t="s">
        <v>796</v>
      </c>
      <c r="E641" s="429" t="s">
        <v>797</v>
      </c>
      <c r="F641" s="91"/>
      <c r="G641" s="91"/>
      <c r="H641" s="91"/>
    </row>
    <row r="642" spans="2:12" ht="14.4" hidden="1" outlineLevel="1" x14ac:dyDescent="0.3">
      <c r="B642" s="425">
        <f t="shared" si="26"/>
        <v>72</v>
      </c>
      <c r="C642" s="95" t="s">
        <v>456</v>
      </c>
      <c r="D642" s="429" t="s">
        <v>796</v>
      </c>
      <c r="E642" s="429" t="s">
        <v>797</v>
      </c>
      <c r="F642" s="91"/>
      <c r="G642" s="91"/>
      <c r="H642" s="91"/>
    </row>
    <row r="643" spans="2:12" ht="14.4" hidden="1" outlineLevel="1" x14ac:dyDescent="0.3">
      <c r="B643" s="425">
        <f t="shared" si="26"/>
        <v>73</v>
      </c>
      <c r="C643" s="95" t="s">
        <v>456</v>
      </c>
      <c r="D643" s="429" t="s">
        <v>796</v>
      </c>
      <c r="E643" s="429" t="s">
        <v>797</v>
      </c>
      <c r="F643" s="91"/>
      <c r="G643" s="91"/>
      <c r="H643" s="91"/>
    </row>
    <row r="644" spans="2:12" ht="14.4" hidden="1" outlineLevel="1" x14ac:dyDescent="0.3">
      <c r="B644" s="425">
        <f t="shared" si="26"/>
        <v>74</v>
      </c>
      <c r="C644" s="95" t="s">
        <v>456</v>
      </c>
      <c r="D644" s="429" t="s">
        <v>796</v>
      </c>
      <c r="E644" s="429" t="s">
        <v>797</v>
      </c>
      <c r="F644" s="91"/>
      <c r="G644" s="91"/>
      <c r="H644" s="91"/>
    </row>
    <row r="645" spans="2:12" ht="14.4" hidden="1" outlineLevel="1" x14ac:dyDescent="0.3">
      <c r="B645" s="425">
        <f t="shared" si="26"/>
        <v>75</v>
      </c>
      <c r="C645" s="95" t="s">
        <v>456</v>
      </c>
      <c r="D645" s="429" t="s">
        <v>796</v>
      </c>
      <c r="E645" s="429" t="s">
        <v>797</v>
      </c>
      <c r="F645" s="91"/>
      <c r="G645" s="91"/>
      <c r="H645" s="91"/>
    </row>
    <row r="646" spans="2:12" ht="14.4" hidden="1" outlineLevel="1" x14ac:dyDescent="0.3">
      <c r="B646" s="425">
        <f t="shared" si="26"/>
        <v>76</v>
      </c>
      <c r="C646" s="95" t="s">
        <v>456</v>
      </c>
      <c r="D646" s="429" t="s">
        <v>796</v>
      </c>
      <c r="E646" s="429" t="s">
        <v>797</v>
      </c>
      <c r="F646" s="91"/>
      <c r="G646" s="91"/>
      <c r="H646" s="91"/>
    </row>
    <row r="647" spans="2:12" ht="14.4" hidden="1" outlineLevel="1" x14ac:dyDescent="0.3">
      <c r="B647" s="425">
        <f t="shared" si="26"/>
        <v>77</v>
      </c>
      <c r="C647" s="95" t="s">
        <v>456</v>
      </c>
      <c r="D647" s="429" t="s">
        <v>796</v>
      </c>
      <c r="E647" s="429" t="s">
        <v>797</v>
      </c>
      <c r="F647" s="91"/>
      <c r="G647" s="91"/>
      <c r="H647" s="91"/>
    </row>
    <row r="648" spans="2:12" ht="14.4" hidden="1" outlineLevel="1" x14ac:dyDescent="0.3">
      <c r="B648" s="425">
        <f t="shared" si="26"/>
        <v>78</v>
      </c>
      <c r="C648" s="95" t="s">
        <v>456</v>
      </c>
      <c r="D648" s="429" t="s">
        <v>796</v>
      </c>
      <c r="E648" s="429" t="s">
        <v>797</v>
      </c>
      <c r="F648" s="91"/>
      <c r="G648" s="91"/>
      <c r="H648" s="91"/>
    </row>
    <row r="649" spans="2:12" ht="14.4" hidden="1" outlineLevel="1" x14ac:dyDescent="0.3">
      <c r="B649" s="425">
        <f t="shared" si="26"/>
        <v>79</v>
      </c>
      <c r="C649" s="95" t="s">
        <v>456</v>
      </c>
      <c r="D649" s="429" t="s">
        <v>796</v>
      </c>
      <c r="E649" s="429" t="s">
        <v>797</v>
      </c>
      <c r="F649" s="91"/>
      <c r="G649" s="91"/>
      <c r="H649" s="91"/>
    </row>
    <row r="650" spans="2:12" ht="14.4" hidden="1" x14ac:dyDescent="0.3">
      <c r="B650" s="425">
        <f t="shared" si="26"/>
        <v>80</v>
      </c>
      <c r="C650" s="95" t="s">
        <v>456</v>
      </c>
      <c r="D650" s="429" t="s">
        <v>796</v>
      </c>
      <c r="E650" s="429" t="s">
        <v>797</v>
      </c>
      <c r="F650" s="91"/>
      <c r="G650" s="91"/>
      <c r="H650" s="91"/>
    </row>
    <row r="651" spans="2:12" x14ac:dyDescent="0.2">
      <c r="C651" s="252" t="s">
        <v>956</v>
      </c>
    </row>
    <row r="652" spans="2:12" x14ac:dyDescent="0.2">
      <c r="C652" t="s">
        <v>798</v>
      </c>
    </row>
    <row r="655" spans="2:12" x14ac:dyDescent="0.2">
      <c r="C655">
        <v>1</v>
      </c>
      <c r="D655">
        <f>C655+1</f>
        <v>2</v>
      </c>
      <c r="E655">
        <f t="shared" ref="E655:L655" si="27">D655+1</f>
        <v>3</v>
      </c>
      <c r="F655">
        <f t="shared" si="27"/>
        <v>4</v>
      </c>
      <c r="G655">
        <f t="shared" si="27"/>
        <v>5</v>
      </c>
      <c r="H655">
        <f t="shared" si="27"/>
        <v>6</v>
      </c>
      <c r="I655">
        <f t="shared" si="27"/>
        <v>7</v>
      </c>
      <c r="J655">
        <f t="shared" si="27"/>
        <v>8</v>
      </c>
      <c r="K655">
        <f t="shared" si="27"/>
        <v>9</v>
      </c>
      <c r="L655">
        <f t="shared" si="27"/>
        <v>10</v>
      </c>
    </row>
    <row r="656" spans="2:12" ht="15.6" x14ac:dyDescent="0.2">
      <c r="B656" s="252"/>
      <c r="C656" s="9" t="s">
        <v>967</v>
      </c>
      <c r="D656" s="252"/>
      <c r="E656" s="252"/>
      <c r="F656" s="252"/>
      <c r="G656" s="252"/>
      <c r="H656" s="252"/>
      <c r="I656" s="252"/>
      <c r="J656" s="252"/>
      <c r="K656" s="252"/>
      <c r="L656" s="252"/>
    </row>
    <row r="657" spans="2:13" x14ac:dyDescent="0.2">
      <c r="B657" s="252"/>
      <c r="C657" s="96" t="s">
        <v>968</v>
      </c>
      <c r="D657" s="252"/>
      <c r="E657" s="252"/>
      <c r="F657" s="252"/>
      <c r="G657" s="252"/>
      <c r="H657" s="252"/>
      <c r="I657" s="252"/>
      <c r="J657" s="252"/>
      <c r="K657" s="252"/>
      <c r="L657" s="252"/>
      <c r="M657" s="252"/>
    </row>
    <row r="658" spans="2:13" x14ac:dyDescent="0.2">
      <c r="B658" s="252"/>
      <c r="C658" s="460" t="s">
        <v>1055</v>
      </c>
      <c r="D658" s="103"/>
      <c r="E658" s="103"/>
      <c r="F658" s="252"/>
      <c r="G658" s="252"/>
      <c r="H658" s="252"/>
      <c r="I658" s="252"/>
      <c r="J658" s="252"/>
      <c r="K658" s="252"/>
      <c r="L658" s="252"/>
      <c r="M658" s="252"/>
    </row>
    <row r="659" spans="2:13" ht="12" x14ac:dyDescent="0.2">
      <c r="B659" s="252"/>
      <c r="C659" s="252"/>
      <c r="D659" s="252"/>
      <c r="E659" s="252"/>
      <c r="F659" s="561">
        <v>2024</v>
      </c>
      <c r="G659" s="561"/>
      <c r="H659" s="561"/>
      <c r="I659" s="561"/>
      <c r="J659" s="561">
        <f>F659+1</f>
        <v>2025</v>
      </c>
      <c r="K659" s="561"/>
      <c r="L659" s="561"/>
      <c r="M659" s="561"/>
    </row>
    <row r="660" spans="2:13" ht="66.75" customHeight="1" x14ac:dyDescent="0.2">
      <c r="B660" s="252"/>
      <c r="C660" s="418" t="s">
        <v>456</v>
      </c>
      <c r="D660" s="418" t="s">
        <v>457</v>
      </c>
      <c r="E660" s="430" t="s">
        <v>458</v>
      </c>
      <c r="F660" s="465" t="s">
        <v>969</v>
      </c>
      <c r="G660" s="465" t="s">
        <v>970</v>
      </c>
      <c r="H660" s="465" t="s">
        <v>971</v>
      </c>
      <c r="I660" s="465" t="s">
        <v>493</v>
      </c>
      <c r="J660" s="465" t="s">
        <v>969</v>
      </c>
      <c r="K660" s="465" t="s">
        <v>970</v>
      </c>
      <c r="L660" s="465" t="s">
        <v>971</v>
      </c>
      <c r="M660" s="466" t="s">
        <v>493</v>
      </c>
    </row>
    <row r="661" spans="2:13" ht="14.4" x14ac:dyDescent="0.3">
      <c r="B661" s="425">
        <v>1</v>
      </c>
      <c r="C661" s="95" t="s">
        <v>166</v>
      </c>
      <c r="D661" s="429" t="s">
        <v>350</v>
      </c>
      <c r="E661" s="429" t="s">
        <v>794</v>
      </c>
      <c r="F661" s="587">
        <v>39721</v>
      </c>
      <c r="G661" s="587">
        <v>111180</v>
      </c>
      <c r="H661" s="587">
        <v>4874</v>
      </c>
      <c r="I661" s="427"/>
      <c r="J661" s="587">
        <v>29401</v>
      </c>
      <c r="K661" s="587">
        <v>146376</v>
      </c>
      <c r="L661" s="587">
        <v>4237</v>
      </c>
      <c r="M661" s="427"/>
    </row>
    <row r="662" spans="2:13" ht="14.4" x14ac:dyDescent="0.3">
      <c r="B662" s="425">
        <f>1+B661</f>
        <v>2</v>
      </c>
      <c r="C662" s="95" t="s">
        <v>169</v>
      </c>
      <c r="D662" s="429" t="s">
        <v>350</v>
      </c>
      <c r="E662" s="429" t="s">
        <v>794</v>
      </c>
      <c r="F662" s="587">
        <v>9232</v>
      </c>
      <c r="G662" s="587">
        <v>29110</v>
      </c>
      <c r="H662" s="587">
        <v>3177</v>
      </c>
      <c r="I662" s="427"/>
      <c r="J662" s="587">
        <v>11787</v>
      </c>
      <c r="K662" s="587">
        <v>44868</v>
      </c>
      <c r="L662" s="587">
        <v>3051</v>
      </c>
      <c r="M662" s="427"/>
    </row>
    <row r="663" spans="2:13" ht="14.4" x14ac:dyDescent="0.3">
      <c r="B663" s="425">
        <f t="shared" ref="B663:B726" si="28">1+B662</f>
        <v>3</v>
      </c>
      <c r="C663" s="95" t="s">
        <v>173</v>
      </c>
      <c r="D663" s="429" t="s">
        <v>350</v>
      </c>
      <c r="E663" s="429" t="s">
        <v>794</v>
      </c>
      <c r="F663" s="587">
        <v>8438</v>
      </c>
      <c r="G663" s="587">
        <v>41231</v>
      </c>
      <c r="H663" s="587">
        <v>2968</v>
      </c>
      <c r="I663" s="427"/>
      <c r="J663" s="587">
        <v>10485</v>
      </c>
      <c r="K663" s="587">
        <v>60148</v>
      </c>
      <c r="L663" s="587">
        <v>2996</v>
      </c>
      <c r="M663" s="427"/>
    </row>
    <row r="664" spans="2:13" ht="14.4" x14ac:dyDescent="0.3">
      <c r="B664" s="425">
        <f t="shared" si="28"/>
        <v>4</v>
      </c>
      <c r="C664" s="95" t="s">
        <v>176</v>
      </c>
      <c r="D664" s="429" t="s">
        <v>350</v>
      </c>
      <c r="E664" s="429" t="s">
        <v>794</v>
      </c>
      <c r="F664" s="587">
        <v>676242</v>
      </c>
      <c r="G664" s="587">
        <v>5607898</v>
      </c>
      <c r="H664" s="587">
        <v>232491</v>
      </c>
      <c r="I664" s="427"/>
      <c r="J664" s="587">
        <v>797570</v>
      </c>
      <c r="K664" s="587">
        <v>4416789</v>
      </c>
      <c r="L664" s="587">
        <v>249398</v>
      </c>
      <c r="M664" s="427"/>
    </row>
    <row r="665" spans="2:13" ht="14.4" x14ac:dyDescent="0.3">
      <c r="B665" s="425">
        <f t="shared" si="28"/>
        <v>5</v>
      </c>
      <c r="C665" s="95" t="s">
        <v>179</v>
      </c>
      <c r="D665" s="429" t="s">
        <v>350</v>
      </c>
      <c r="E665" s="429" t="s">
        <v>794</v>
      </c>
      <c r="F665" s="587">
        <v>5643</v>
      </c>
      <c r="G665" s="587">
        <v>306149</v>
      </c>
      <c r="H665" s="587">
        <v>9448</v>
      </c>
      <c r="I665" s="427"/>
      <c r="J665" s="587">
        <v>6960</v>
      </c>
      <c r="K665" s="587">
        <v>292538</v>
      </c>
      <c r="L665" s="587">
        <v>7723</v>
      </c>
      <c r="M665" s="427"/>
    </row>
    <row r="666" spans="2:13" ht="14.4" x14ac:dyDescent="0.3">
      <c r="B666" s="425">
        <f t="shared" si="28"/>
        <v>6</v>
      </c>
      <c r="C666" s="95" t="s">
        <v>181</v>
      </c>
      <c r="D666" s="429" t="s">
        <v>350</v>
      </c>
      <c r="E666" s="429" t="s">
        <v>794</v>
      </c>
      <c r="F666" s="587">
        <v>4010</v>
      </c>
      <c r="G666" s="587">
        <v>494239</v>
      </c>
      <c r="H666" s="587">
        <v>4550</v>
      </c>
      <c r="I666" s="427"/>
      <c r="J666" s="587">
        <v>2563</v>
      </c>
      <c r="K666" s="587">
        <v>397171</v>
      </c>
      <c r="L666" s="587">
        <v>4311</v>
      </c>
      <c r="M666" s="427"/>
    </row>
    <row r="667" spans="2:13" ht="14.4" x14ac:dyDescent="0.3">
      <c r="B667" s="425">
        <f t="shared" si="28"/>
        <v>7</v>
      </c>
      <c r="C667" s="95" t="s">
        <v>183</v>
      </c>
      <c r="D667" s="429" t="s">
        <v>350</v>
      </c>
      <c r="E667" s="429" t="s">
        <v>794</v>
      </c>
      <c r="F667" s="587">
        <v>22440</v>
      </c>
      <c r="G667" s="587">
        <v>254691</v>
      </c>
      <c r="H667" s="587">
        <v>10255</v>
      </c>
      <c r="I667" s="427"/>
      <c r="J667" s="587">
        <v>21620</v>
      </c>
      <c r="K667" s="587">
        <v>332762</v>
      </c>
      <c r="L667" s="587">
        <v>8194</v>
      </c>
      <c r="M667" s="427"/>
    </row>
    <row r="668" spans="2:13" ht="14.4" x14ac:dyDescent="0.3">
      <c r="B668" s="425">
        <f t="shared" si="28"/>
        <v>8</v>
      </c>
      <c r="C668" s="95" t="s">
        <v>186</v>
      </c>
      <c r="D668" s="429" t="s">
        <v>350</v>
      </c>
      <c r="E668" s="429" t="s">
        <v>794</v>
      </c>
      <c r="F668" s="587">
        <v>110</v>
      </c>
      <c r="G668" s="587">
        <v>174085</v>
      </c>
      <c r="H668" s="587">
        <v>9</v>
      </c>
      <c r="I668" s="427"/>
      <c r="J668" s="587">
        <v>62</v>
      </c>
      <c r="K668" s="587">
        <v>272670</v>
      </c>
      <c r="L668" s="587">
        <v>10</v>
      </c>
      <c r="M668" s="427"/>
    </row>
    <row r="669" spans="2:13" ht="14.4" x14ac:dyDescent="0.3">
      <c r="B669" s="425">
        <f t="shared" si="28"/>
        <v>9</v>
      </c>
      <c r="C669" s="95" t="s">
        <v>1036</v>
      </c>
      <c r="D669" s="429" t="s">
        <v>350</v>
      </c>
      <c r="E669" s="429" t="s">
        <v>794</v>
      </c>
      <c r="F669" s="587">
        <v>70</v>
      </c>
      <c r="G669" s="587">
        <v>13515</v>
      </c>
      <c r="H669" s="587">
        <v>0</v>
      </c>
      <c r="I669" s="427"/>
      <c r="J669" s="587">
        <v>49</v>
      </c>
      <c r="K669" s="587">
        <v>16903</v>
      </c>
      <c r="L669" s="587">
        <v>0</v>
      </c>
      <c r="M669" s="427"/>
    </row>
    <row r="670" spans="2:13" ht="14.4" outlineLevel="1" x14ac:dyDescent="0.3">
      <c r="B670" s="425">
        <f t="shared" si="28"/>
        <v>10</v>
      </c>
      <c r="C670" s="95" t="s">
        <v>188</v>
      </c>
      <c r="D670" s="429" t="s">
        <v>350</v>
      </c>
      <c r="E670" s="429" t="s">
        <v>794</v>
      </c>
      <c r="F670" s="587">
        <v>904</v>
      </c>
      <c r="G670" s="587">
        <v>47113</v>
      </c>
      <c r="H670" s="587">
        <v>296</v>
      </c>
      <c r="I670" s="427"/>
      <c r="J670" s="587">
        <v>687</v>
      </c>
      <c r="K670" s="587">
        <v>60087</v>
      </c>
      <c r="L670" s="587">
        <v>321</v>
      </c>
      <c r="M670" s="427"/>
    </row>
    <row r="671" spans="2:13" ht="14.4" outlineLevel="1" x14ac:dyDescent="0.3">
      <c r="B671" s="425">
        <f t="shared" si="28"/>
        <v>11</v>
      </c>
      <c r="C671" s="95" t="s">
        <v>190</v>
      </c>
      <c r="D671" s="429" t="s">
        <v>350</v>
      </c>
      <c r="E671" s="429" t="s">
        <v>794</v>
      </c>
      <c r="F671" s="587">
        <v>31</v>
      </c>
      <c r="G671" s="587">
        <v>19081</v>
      </c>
      <c r="H671" s="587">
        <v>0</v>
      </c>
      <c r="I671" s="427"/>
      <c r="J671" s="587">
        <v>26</v>
      </c>
      <c r="K671" s="587">
        <v>22174</v>
      </c>
      <c r="L671" s="587">
        <v>0</v>
      </c>
      <c r="M671" s="427"/>
    </row>
    <row r="672" spans="2:13" ht="14.4" outlineLevel="1" x14ac:dyDescent="0.3">
      <c r="B672" s="425">
        <f t="shared" si="28"/>
        <v>12</v>
      </c>
      <c r="C672" s="95" t="s">
        <v>167</v>
      </c>
      <c r="D672" s="429" t="s">
        <v>350</v>
      </c>
      <c r="E672" s="429" t="s">
        <v>791</v>
      </c>
      <c r="F672" s="587">
        <v>3454</v>
      </c>
      <c r="G672" s="587">
        <v>14304</v>
      </c>
      <c r="H672" s="587">
        <v>1174</v>
      </c>
      <c r="I672" s="427"/>
      <c r="J672" s="587">
        <v>3129</v>
      </c>
      <c r="K672" s="587">
        <v>15281</v>
      </c>
      <c r="L672" s="587">
        <v>823</v>
      </c>
      <c r="M672" s="427"/>
    </row>
    <row r="673" spans="2:13" ht="14.4" outlineLevel="1" x14ac:dyDescent="0.3">
      <c r="B673" s="425">
        <f t="shared" si="28"/>
        <v>13</v>
      </c>
      <c r="C673" s="513" t="s">
        <v>170</v>
      </c>
      <c r="D673" s="429" t="s">
        <v>350</v>
      </c>
      <c r="E673" s="429" t="s">
        <v>791</v>
      </c>
      <c r="F673" s="587">
        <v>23</v>
      </c>
      <c r="G673" s="587">
        <v>50</v>
      </c>
      <c r="H673" s="587">
        <v>3</v>
      </c>
      <c r="I673" s="427"/>
      <c r="J673" s="587">
        <v>25</v>
      </c>
      <c r="K673" s="587">
        <v>201</v>
      </c>
      <c r="L673" s="587">
        <v>8</v>
      </c>
      <c r="M673" s="427"/>
    </row>
    <row r="674" spans="2:13" ht="14.4" outlineLevel="1" x14ac:dyDescent="0.3">
      <c r="B674" s="425">
        <f t="shared" si="28"/>
        <v>14</v>
      </c>
      <c r="C674" s="95" t="s">
        <v>174</v>
      </c>
      <c r="D674" s="429" t="s">
        <v>350</v>
      </c>
      <c r="E674" s="429" t="s">
        <v>791</v>
      </c>
      <c r="F674" s="587">
        <v>272115</v>
      </c>
      <c r="G674" s="587">
        <v>2023993</v>
      </c>
      <c r="H674" s="587">
        <v>76678</v>
      </c>
      <c r="I674" s="427"/>
      <c r="J674" s="587">
        <v>164823</v>
      </c>
      <c r="K674" s="587">
        <v>1557184</v>
      </c>
      <c r="L674" s="587">
        <v>49966</v>
      </c>
      <c r="M674" s="427"/>
    </row>
    <row r="675" spans="2:13" ht="14.4" outlineLevel="1" x14ac:dyDescent="0.3">
      <c r="B675" s="425">
        <f t="shared" si="28"/>
        <v>15</v>
      </c>
      <c r="C675" s="95" t="s">
        <v>177</v>
      </c>
      <c r="D675" s="429" t="s">
        <v>350</v>
      </c>
      <c r="E675" s="429" t="s">
        <v>791</v>
      </c>
      <c r="F675" s="587">
        <v>2235</v>
      </c>
      <c r="G675" s="587">
        <v>262697</v>
      </c>
      <c r="H675" s="587">
        <v>7308</v>
      </c>
      <c r="I675" s="427"/>
      <c r="J675" s="587">
        <v>2355</v>
      </c>
      <c r="K675" s="587">
        <v>347782</v>
      </c>
      <c r="L675" s="587">
        <v>6054</v>
      </c>
      <c r="M675" s="427"/>
    </row>
    <row r="676" spans="2:13" ht="14.4" outlineLevel="1" x14ac:dyDescent="0.3">
      <c r="B676" s="425">
        <f t="shared" si="28"/>
        <v>16</v>
      </c>
      <c r="C676" s="95" t="s">
        <v>180</v>
      </c>
      <c r="D676" s="429" t="s">
        <v>350</v>
      </c>
      <c r="E676" s="429" t="s">
        <v>791</v>
      </c>
      <c r="F676" s="587">
        <v>327</v>
      </c>
      <c r="G676" s="587">
        <v>141281</v>
      </c>
      <c r="H676" s="587">
        <v>29</v>
      </c>
      <c r="I676" s="427"/>
      <c r="J676" s="587">
        <v>339</v>
      </c>
      <c r="K676" s="587">
        <v>159143</v>
      </c>
      <c r="L676" s="587">
        <v>26</v>
      </c>
      <c r="M676" s="427"/>
    </row>
    <row r="677" spans="2:13" ht="14.4" outlineLevel="1" x14ac:dyDescent="0.3">
      <c r="B677" s="425">
        <f t="shared" si="28"/>
        <v>17</v>
      </c>
      <c r="C677" s="95" t="s">
        <v>1037</v>
      </c>
      <c r="D677" s="429" t="s">
        <v>350</v>
      </c>
      <c r="E677" s="429" t="s">
        <v>791</v>
      </c>
      <c r="F677" s="587">
        <v>100</v>
      </c>
      <c r="G677" s="587">
        <v>16409</v>
      </c>
      <c r="H677" s="587">
        <v>1</v>
      </c>
      <c r="I677" s="427"/>
      <c r="J677" s="587">
        <v>51</v>
      </c>
      <c r="K677" s="587">
        <v>19805</v>
      </c>
      <c r="L677" s="587">
        <v>0</v>
      </c>
      <c r="M677" s="427"/>
    </row>
    <row r="678" spans="2:13" ht="14.4" outlineLevel="1" x14ac:dyDescent="0.3">
      <c r="B678" s="425">
        <f t="shared" si="28"/>
        <v>18</v>
      </c>
      <c r="C678" s="95" t="s">
        <v>182</v>
      </c>
      <c r="D678" s="429" t="s">
        <v>350</v>
      </c>
      <c r="E678" s="429" t="s">
        <v>791</v>
      </c>
      <c r="F678" s="587">
        <v>333</v>
      </c>
      <c r="G678" s="587">
        <v>179708</v>
      </c>
      <c r="H678" s="587">
        <v>249</v>
      </c>
      <c r="I678" s="427"/>
      <c r="J678" s="587">
        <v>291</v>
      </c>
      <c r="K678" s="587">
        <v>231099</v>
      </c>
      <c r="L678" s="587">
        <v>155</v>
      </c>
      <c r="M678" s="427"/>
    </row>
    <row r="679" spans="2:13" ht="14.4" outlineLevel="1" x14ac:dyDescent="0.3">
      <c r="B679" s="425">
        <f t="shared" si="28"/>
        <v>19</v>
      </c>
      <c r="C679" s="95" t="s">
        <v>1038</v>
      </c>
      <c r="D679" s="429" t="s">
        <v>350</v>
      </c>
      <c r="E679" s="429" t="s">
        <v>791</v>
      </c>
      <c r="F679" s="587">
        <v>87</v>
      </c>
      <c r="G679" s="587">
        <v>11587</v>
      </c>
      <c r="H679" s="587">
        <v>2</v>
      </c>
      <c r="I679" s="427"/>
      <c r="J679" s="587">
        <v>62</v>
      </c>
      <c r="K679" s="587">
        <v>21151</v>
      </c>
      <c r="L679" s="587">
        <v>0</v>
      </c>
      <c r="M679" s="427"/>
    </row>
    <row r="680" spans="2:13" ht="14.4" outlineLevel="1" x14ac:dyDescent="0.3">
      <c r="B680" s="425">
        <f t="shared" si="28"/>
        <v>20</v>
      </c>
      <c r="C680" s="95" t="s">
        <v>184</v>
      </c>
      <c r="D680" s="429" t="s">
        <v>350</v>
      </c>
      <c r="E680" s="429" t="s">
        <v>791</v>
      </c>
      <c r="F680" s="587">
        <v>36</v>
      </c>
      <c r="G680" s="587">
        <v>26156</v>
      </c>
      <c r="H680" s="587">
        <v>2</v>
      </c>
      <c r="I680" s="427"/>
      <c r="J680" s="587">
        <v>29</v>
      </c>
      <c r="K680" s="587">
        <v>18396</v>
      </c>
      <c r="L680" s="587">
        <v>2</v>
      </c>
      <c r="M680" s="427"/>
    </row>
    <row r="681" spans="2:13" ht="14.4" outlineLevel="1" x14ac:dyDescent="0.3">
      <c r="B681" s="425">
        <f t="shared" si="28"/>
        <v>21</v>
      </c>
      <c r="C681" s="95" t="s">
        <v>194</v>
      </c>
      <c r="D681" s="429" t="s">
        <v>1039</v>
      </c>
      <c r="E681" s="429" t="s">
        <v>794</v>
      </c>
      <c r="F681" s="587">
        <v>88989</v>
      </c>
      <c r="G681" s="587">
        <v>357653</v>
      </c>
      <c r="H681" s="587">
        <v>20819</v>
      </c>
      <c r="I681" s="427"/>
      <c r="J681" s="587">
        <v>80603</v>
      </c>
      <c r="K681" s="587">
        <v>412344</v>
      </c>
      <c r="L681" s="587">
        <v>19540</v>
      </c>
      <c r="M681" s="427"/>
    </row>
    <row r="682" spans="2:13" ht="14.4" outlineLevel="1" x14ac:dyDescent="0.3">
      <c r="B682" s="425">
        <f t="shared" si="28"/>
        <v>22</v>
      </c>
      <c r="C682" s="95" t="s">
        <v>196</v>
      </c>
      <c r="D682" s="429" t="s">
        <v>1039</v>
      </c>
      <c r="E682" s="429" t="s">
        <v>794</v>
      </c>
      <c r="F682" s="587">
        <v>46742</v>
      </c>
      <c r="G682" s="587">
        <v>222192</v>
      </c>
      <c r="H682" s="587">
        <v>10890</v>
      </c>
      <c r="I682" s="427"/>
      <c r="J682" s="587">
        <v>33762</v>
      </c>
      <c r="K682" s="587">
        <v>329319</v>
      </c>
      <c r="L682" s="587">
        <v>8636</v>
      </c>
      <c r="M682" s="427"/>
    </row>
    <row r="683" spans="2:13" ht="14.4" outlineLevel="1" x14ac:dyDescent="0.3">
      <c r="B683" s="425">
        <f t="shared" si="28"/>
        <v>23</v>
      </c>
      <c r="C683" s="95" t="s">
        <v>198</v>
      </c>
      <c r="D683" s="429" t="s">
        <v>1039</v>
      </c>
      <c r="E683" s="429" t="s">
        <v>794</v>
      </c>
      <c r="F683" s="587">
        <v>173</v>
      </c>
      <c r="G683" s="587">
        <v>17026</v>
      </c>
      <c r="H683" s="587">
        <v>112</v>
      </c>
      <c r="I683" s="427"/>
      <c r="J683" s="587">
        <v>263</v>
      </c>
      <c r="K683" s="587">
        <v>39530</v>
      </c>
      <c r="L683" s="587">
        <v>142</v>
      </c>
      <c r="M683" s="427"/>
    </row>
    <row r="684" spans="2:13" ht="14.4" outlineLevel="1" x14ac:dyDescent="0.3">
      <c r="B684" s="425">
        <f t="shared" si="28"/>
        <v>24</v>
      </c>
      <c r="C684" s="95" t="s">
        <v>200</v>
      </c>
      <c r="D684" s="429" t="s">
        <v>1039</v>
      </c>
      <c r="E684" s="429" t="s">
        <v>794</v>
      </c>
      <c r="F684" s="587">
        <v>14360</v>
      </c>
      <c r="G684" s="587">
        <v>151539</v>
      </c>
      <c r="H684" s="587">
        <v>5868</v>
      </c>
      <c r="I684" s="427"/>
      <c r="J684" s="587">
        <v>14511</v>
      </c>
      <c r="K684" s="587">
        <v>217685</v>
      </c>
      <c r="L684" s="587">
        <v>2707</v>
      </c>
      <c r="M684" s="427"/>
    </row>
    <row r="685" spans="2:13" ht="14.4" outlineLevel="1" x14ac:dyDescent="0.3">
      <c r="B685" s="425">
        <f t="shared" si="28"/>
        <v>25</v>
      </c>
      <c r="C685" s="95" t="s">
        <v>202</v>
      </c>
      <c r="D685" s="429" t="s">
        <v>1039</v>
      </c>
      <c r="E685" s="429" t="s">
        <v>794</v>
      </c>
      <c r="F685" s="587">
        <v>53</v>
      </c>
      <c r="G685" s="587">
        <v>5364</v>
      </c>
      <c r="H685" s="587">
        <v>34</v>
      </c>
      <c r="I685" s="427"/>
      <c r="J685" s="587">
        <v>42</v>
      </c>
      <c r="K685" s="587">
        <v>10969</v>
      </c>
      <c r="L685" s="587">
        <v>32</v>
      </c>
      <c r="M685" s="427"/>
    </row>
    <row r="686" spans="2:13" ht="14.4" outlineLevel="1" x14ac:dyDescent="0.3">
      <c r="B686" s="425">
        <f t="shared" si="28"/>
        <v>26</v>
      </c>
      <c r="C686" s="95" t="s">
        <v>203</v>
      </c>
      <c r="D686" s="429" t="s">
        <v>1039</v>
      </c>
      <c r="E686" s="429" t="s">
        <v>794</v>
      </c>
      <c r="F686" s="587">
        <v>4566</v>
      </c>
      <c r="G686" s="587">
        <v>57944</v>
      </c>
      <c r="H686" s="587">
        <v>880</v>
      </c>
      <c r="I686" s="427"/>
      <c r="J686" s="587">
        <v>2424</v>
      </c>
      <c r="K686" s="587">
        <v>36566</v>
      </c>
      <c r="L686" s="587">
        <v>859</v>
      </c>
      <c r="M686" s="427"/>
    </row>
    <row r="687" spans="2:13" ht="14.4" outlineLevel="1" x14ac:dyDescent="0.3">
      <c r="B687" s="425">
        <f t="shared" si="28"/>
        <v>27</v>
      </c>
      <c r="C687" s="95" t="s">
        <v>204</v>
      </c>
      <c r="D687" s="429" t="s">
        <v>1039</v>
      </c>
      <c r="E687" s="429" t="s">
        <v>794</v>
      </c>
      <c r="F687" s="587">
        <v>727</v>
      </c>
      <c r="G687" s="587">
        <v>16387</v>
      </c>
      <c r="H687" s="587">
        <v>432</v>
      </c>
      <c r="I687" s="427"/>
      <c r="J687" s="587">
        <v>883</v>
      </c>
      <c r="K687" s="587">
        <v>13638</v>
      </c>
      <c r="L687" s="587">
        <v>349</v>
      </c>
      <c r="M687" s="427"/>
    </row>
    <row r="688" spans="2:13" ht="14.4" outlineLevel="1" x14ac:dyDescent="0.3">
      <c r="B688" s="425">
        <f t="shared" si="28"/>
        <v>28</v>
      </c>
      <c r="C688" s="95" t="s">
        <v>205</v>
      </c>
      <c r="D688" s="429" t="s">
        <v>1039</v>
      </c>
      <c r="E688" s="429" t="s">
        <v>794</v>
      </c>
      <c r="F688" s="587">
        <v>848</v>
      </c>
      <c r="G688" s="587">
        <v>24883</v>
      </c>
      <c r="H688" s="587">
        <v>252</v>
      </c>
      <c r="I688" s="427"/>
      <c r="J688" s="587">
        <v>806</v>
      </c>
      <c r="K688" s="587">
        <v>24457</v>
      </c>
      <c r="L688" s="587">
        <v>230</v>
      </c>
      <c r="M688" s="427"/>
    </row>
    <row r="689" spans="2:13" ht="14.4" outlineLevel="1" x14ac:dyDescent="0.3">
      <c r="B689" s="425">
        <f t="shared" si="28"/>
        <v>29</v>
      </c>
      <c r="C689" s="513" t="s">
        <v>187</v>
      </c>
      <c r="D689" s="429" t="s">
        <v>1039</v>
      </c>
      <c r="E689" s="429" t="s">
        <v>791</v>
      </c>
      <c r="F689" s="587">
        <v>33</v>
      </c>
      <c r="G689" s="587">
        <v>46</v>
      </c>
      <c r="H689" s="587">
        <v>3</v>
      </c>
      <c r="I689" s="427"/>
      <c r="J689" s="587">
        <v>18</v>
      </c>
      <c r="K689" s="587">
        <v>227</v>
      </c>
      <c r="L689" s="587">
        <v>12</v>
      </c>
      <c r="M689" s="427"/>
    </row>
    <row r="690" spans="2:13" ht="14.4" outlineLevel="1" x14ac:dyDescent="0.3">
      <c r="B690" s="425">
        <f t="shared" si="28"/>
        <v>30</v>
      </c>
      <c r="C690" s="95" t="s">
        <v>189</v>
      </c>
      <c r="D690" s="429" t="s">
        <v>1039</v>
      </c>
      <c r="E690" s="429" t="s">
        <v>791</v>
      </c>
      <c r="F690" s="587">
        <v>16573</v>
      </c>
      <c r="G690" s="587">
        <v>117987</v>
      </c>
      <c r="H690" s="587">
        <v>3681</v>
      </c>
      <c r="I690" s="427"/>
      <c r="J690" s="587">
        <v>11460</v>
      </c>
      <c r="K690" s="587">
        <v>96230</v>
      </c>
      <c r="L690" s="587">
        <v>3873</v>
      </c>
      <c r="M690" s="427"/>
    </row>
    <row r="691" spans="2:13" ht="14.4" outlineLevel="1" x14ac:dyDescent="0.3">
      <c r="B691" s="425">
        <f t="shared" si="28"/>
        <v>31</v>
      </c>
      <c r="C691" s="95" t="s">
        <v>191</v>
      </c>
      <c r="D691" s="429" t="s">
        <v>1039</v>
      </c>
      <c r="E691" s="429" t="s">
        <v>791</v>
      </c>
      <c r="F691" s="587">
        <v>1778</v>
      </c>
      <c r="G691" s="587">
        <v>28977</v>
      </c>
      <c r="H691" s="587">
        <v>665</v>
      </c>
      <c r="I691" s="427"/>
      <c r="J691" s="587">
        <v>1481</v>
      </c>
      <c r="K691" s="587">
        <v>27837</v>
      </c>
      <c r="L691" s="587">
        <v>396</v>
      </c>
      <c r="M691" s="427"/>
    </row>
    <row r="692" spans="2:13" ht="14.4" outlineLevel="1" x14ac:dyDescent="0.3">
      <c r="B692" s="425">
        <f t="shared" si="28"/>
        <v>32</v>
      </c>
      <c r="C692" s="95" t="s">
        <v>192</v>
      </c>
      <c r="D692" s="429" t="s">
        <v>1039</v>
      </c>
      <c r="E692" s="429" t="s">
        <v>791</v>
      </c>
      <c r="F692" s="587">
        <v>50</v>
      </c>
      <c r="G692" s="587">
        <v>21390</v>
      </c>
      <c r="H692" s="587">
        <v>2</v>
      </c>
      <c r="I692" s="427"/>
      <c r="J692" s="587">
        <v>25</v>
      </c>
      <c r="K692" s="587">
        <v>12213</v>
      </c>
      <c r="L692" s="587">
        <v>2</v>
      </c>
      <c r="M692" s="427"/>
    </row>
    <row r="693" spans="2:13" ht="14.4" outlineLevel="1" x14ac:dyDescent="0.3">
      <c r="B693" s="425">
        <f t="shared" si="28"/>
        <v>33</v>
      </c>
      <c r="C693" s="95" t="s">
        <v>1040</v>
      </c>
      <c r="D693" s="429" t="s">
        <v>1039</v>
      </c>
      <c r="E693" s="429" t="s">
        <v>791</v>
      </c>
      <c r="F693" s="587">
        <v>13</v>
      </c>
      <c r="G693" s="587">
        <v>1063</v>
      </c>
      <c r="H693" s="587">
        <v>0</v>
      </c>
      <c r="I693" s="427"/>
      <c r="J693" s="587">
        <v>15</v>
      </c>
      <c r="K693" s="587">
        <v>4382</v>
      </c>
      <c r="L693" s="587">
        <v>0</v>
      </c>
      <c r="M693" s="427"/>
    </row>
    <row r="694" spans="2:13" ht="14.4" outlineLevel="1" x14ac:dyDescent="0.3">
      <c r="B694" s="425">
        <f t="shared" si="28"/>
        <v>34</v>
      </c>
      <c r="C694" s="95" t="s">
        <v>193</v>
      </c>
      <c r="D694" s="429" t="s">
        <v>1039</v>
      </c>
      <c r="E694" s="429" t="s">
        <v>791</v>
      </c>
      <c r="F694" s="587">
        <v>115</v>
      </c>
      <c r="G694" s="587">
        <v>21727</v>
      </c>
      <c r="H694" s="587">
        <v>53</v>
      </c>
      <c r="I694" s="427"/>
      <c r="J694" s="587">
        <v>69</v>
      </c>
      <c r="K694" s="587">
        <v>28252</v>
      </c>
      <c r="L694" s="587">
        <v>45</v>
      </c>
      <c r="M694" s="427"/>
    </row>
    <row r="695" spans="2:13" ht="14.4" outlineLevel="1" x14ac:dyDescent="0.3">
      <c r="B695" s="425">
        <f t="shared" si="28"/>
        <v>35</v>
      </c>
      <c r="C695" s="95" t="s">
        <v>1041</v>
      </c>
      <c r="D695" s="429" t="s">
        <v>1039</v>
      </c>
      <c r="E695" s="429" t="s">
        <v>791</v>
      </c>
      <c r="F695" s="587">
        <v>12</v>
      </c>
      <c r="G695" s="587">
        <v>1980</v>
      </c>
      <c r="H695" s="587">
        <v>0</v>
      </c>
      <c r="I695" s="427"/>
      <c r="J695" s="587">
        <v>15</v>
      </c>
      <c r="K695" s="587">
        <v>3698</v>
      </c>
      <c r="L695" s="587">
        <v>0</v>
      </c>
      <c r="M695" s="427"/>
    </row>
    <row r="696" spans="2:13" ht="14.4" outlineLevel="1" x14ac:dyDescent="0.3">
      <c r="B696" s="425">
        <f t="shared" si="28"/>
        <v>36</v>
      </c>
      <c r="C696" s="95" t="s">
        <v>195</v>
      </c>
      <c r="D696" s="429" t="s">
        <v>1039</v>
      </c>
      <c r="E696" s="429" t="s">
        <v>791</v>
      </c>
      <c r="F696" s="587">
        <v>16</v>
      </c>
      <c r="G696" s="587">
        <v>7346</v>
      </c>
      <c r="H696" s="587">
        <v>2</v>
      </c>
      <c r="I696" s="427"/>
      <c r="J696" s="587">
        <v>11</v>
      </c>
      <c r="K696" s="587">
        <v>8171</v>
      </c>
      <c r="L696" s="587">
        <v>3</v>
      </c>
      <c r="M696" s="427"/>
    </row>
    <row r="697" spans="2:13" ht="14.4" outlineLevel="1" x14ac:dyDescent="0.3">
      <c r="B697" s="425">
        <f t="shared" si="28"/>
        <v>37</v>
      </c>
      <c r="C697" s="95" t="s">
        <v>197</v>
      </c>
      <c r="D697" s="429" t="s">
        <v>351</v>
      </c>
      <c r="E697" s="429" t="s">
        <v>791</v>
      </c>
      <c r="F697" s="587">
        <v>16190</v>
      </c>
      <c r="G697" s="587">
        <v>28751</v>
      </c>
      <c r="H697" s="587">
        <v>1794</v>
      </c>
      <c r="I697" s="427"/>
      <c r="J697" s="587">
        <v>8485</v>
      </c>
      <c r="K697" s="587">
        <v>30806</v>
      </c>
      <c r="L697" s="587">
        <v>1918</v>
      </c>
      <c r="M697" s="427"/>
    </row>
    <row r="698" spans="2:13" ht="14.4" outlineLevel="1" x14ac:dyDescent="0.3">
      <c r="B698" s="425">
        <f t="shared" si="28"/>
        <v>38</v>
      </c>
      <c r="C698" s="95" t="s">
        <v>199</v>
      </c>
      <c r="D698" s="429" t="s">
        <v>351</v>
      </c>
      <c r="E698" s="429" t="s">
        <v>791</v>
      </c>
      <c r="F698" s="587">
        <v>2953</v>
      </c>
      <c r="G698" s="587">
        <v>7635</v>
      </c>
      <c r="H698" s="587">
        <v>518</v>
      </c>
      <c r="I698" s="427"/>
      <c r="J698" s="587">
        <v>2212</v>
      </c>
      <c r="K698" s="587">
        <v>6293</v>
      </c>
      <c r="L698" s="587">
        <v>363</v>
      </c>
      <c r="M698" s="427"/>
    </row>
    <row r="699" spans="2:13" ht="14.4" outlineLevel="1" x14ac:dyDescent="0.3">
      <c r="B699" s="425">
        <f t="shared" si="28"/>
        <v>39</v>
      </c>
      <c r="C699" s="95" t="s">
        <v>201</v>
      </c>
      <c r="D699" s="429" t="s">
        <v>351</v>
      </c>
      <c r="E699" s="429" t="s">
        <v>791</v>
      </c>
      <c r="F699" s="587">
        <v>2232</v>
      </c>
      <c r="G699" s="587">
        <v>8709</v>
      </c>
      <c r="H699" s="587">
        <v>278</v>
      </c>
      <c r="I699" s="427"/>
      <c r="J699" s="587">
        <v>1616</v>
      </c>
      <c r="K699" s="587">
        <v>9652</v>
      </c>
      <c r="L699" s="587">
        <v>251</v>
      </c>
      <c r="M699" s="427"/>
    </row>
    <row r="700" spans="2:13" ht="14.4" outlineLevel="1" x14ac:dyDescent="0.3">
      <c r="B700" s="425">
        <f t="shared" si="28"/>
        <v>40</v>
      </c>
      <c r="C700" s="95" t="s">
        <v>494</v>
      </c>
      <c r="D700" s="429" t="s">
        <v>351</v>
      </c>
      <c r="E700" s="429" t="s">
        <v>794</v>
      </c>
      <c r="F700" s="587">
        <v>20</v>
      </c>
      <c r="G700" s="587">
        <v>2947</v>
      </c>
      <c r="H700" s="587">
        <v>7</v>
      </c>
      <c r="I700" s="427"/>
      <c r="J700" s="587">
        <v>0</v>
      </c>
      <c r="K700" s="587">
        <v>0</v>
      </c>
      <c r="L700" s="587">
        <v>0</v>
      </c>
      <c r="M700" s="427"/>
    </row>
    <row r="701" spans="2:13" ht="14.4" outlineLevel="1" x14ac:dyDescent="0.3">
      <c r="B701" s="425">
        <f t="shared" si="28"/>
        <v>41</v>
      </c>
      <c r="C701" s="95" t="s">
        <v>496</v>
      </c>
      <c r="D701" s="429" t="s">
        <v>351</v>
      </c>
      <c r="E701" s="429" t="s">
        <v>794</v>
      </c>
      <c r="F701" s="587">
        <v>4</v>
      </c>
      <c r="G701" s="587">
        <v>7258</v>
      </c>
      <c r="H701" s="587">
        <v>7</v>
      </c>
      <c r="I701" s="427"/>
      <c r="J701" s="587">
        <v>0</v>
      </c>
      <c r="K701" s="587">
        <v>0</v>
      </c>
      <c r="L701" s="587">
        <v>0</v>
      </c>
      <c r="M701" s="427"/>
    </row>
    <row r="702" spans="2:13" ht="14.4" outlineLevel="1" x14ac:dyDescent="0.3">
      <c r="B702" s="425">
        <f t="shared" si="28"/>
        <v>42</v>
      </c>
      <c r="C702" s="95" t="s">
        <v>498</v>
      </c>
      <c r="D702" s="429" t="s">
        <v>351</v>
      </c>
      <c r="E702" s="429" t="s">
        <v>794</v>
      </c>
      <c r="F702" s="587">
        <v>0</v>
      </c>
      <c r="G702" s="587">
        <v>0</v>
      </c>
      <c r="H702" s="587">
        <v>0</v>
      </c>
      <c r="I702" s="427"/>
      <c r="J702" s="587">
        <v>0</v>
      </c>
      <c r="K702" s="587">
        <v>0</v>
      </c>
      <c r="L702" s="587">
        <v>0</v>
      </c>
      <c r="M702" s="427"/>
    </row>
    <row r="703" spans="2:13" ht="14.4" outlineLevel="1" x14ac:dyDescent="0.3">
      <c r="B703" s="425">
        <f t="shared" si="28"/>
        <v>43</v>
      </c>
      <c r="C703" s="95" t="s">
        <v>500</v>
      </c>
      <c r="D703" s="429" t="s">
        <v>351</v>
      </c>
      <c r="E703" s="429" t="s">
        <v>794</v>
      </c>
      <c r="F703" s="587">
        <v>0</v>
      </c>
      <c r="G703" s="587">
        <v>0</v>
      </c>
      <c r="H703" s="587">
        <v>0</v>
      </c>
      <c r="I703" s="427"/>
      <c r="J703" s="587">
        <v>0</v>
      </c>
      <c r="K703" s="587">
        <v>0</v>
      </c>
      <c r="L703" s="587">
        <v>0</v>
      </c>
      <c r="M703" s="427"/>
    </row>
    <row r="704" spans="2:13" ht="14.4" outlineLevel="1" x14ac:dyDescent="0.3">
      <c r="B704" s="425">
        <f t="shared" si="28"/>
        <v>44</v>
      </c>
      <c r="C704" s="95" t="s">
        <v>502</v>
      </c>
      <c r="D704" s="429" t="s">
        <v>351</v>
      </c>
      <c r="E704" s="429" t="s">
        <v>794</v>
      </c>
      <c r="F704" s="587">
        <v>0</v>
      </c>
      <c r="G704" s="587">
        <v>0</v>
      </c>
      <c r="H704" s="587">
        <v>0</v>
      </c>
      <c r="I704" s="427"/>
      <c r="J704" s="587">
        <v>0</v>
      </c>
      <c r="K704" s="587">
        <v>0</v>
      </c>
      <c r="L704" s="587">
        <v>0</v>
      </c>
      <c r="M704" s="427"/>
    </row>
    <row r="705" spans="2:13" ht="14.4" outlineLevel="1" x14ac:dyDescent="0.3">
      <c r="B705" s="425">
        <f t="shared" si="28"/>
        <v>45</v>
      </c>
      <c r="C705" s="95" t="s">
        <v>504</v>
      </c>
      <c r="D705" s="429" t="s">
        <v>351</v>
      </c>
      <c r="E705" s="429" t="s">
        <v>794</v>
      </c>
      <c r="F705" s="587">
        <v>0</v>
      </c>
      <c r="G705" s="587">
        <v>0</v>
      </c>
      <c r="H705" s="587">
        <v>0</v>
      </c>
      <c r="I705" s="427"/>
      <c r="J705" s="587">
        <v>0</v>
      </c>
      <c r="K705" s="587">
        <v>0</v>
      </c>
      <c r="L705" s="587">
        <v>0</v>
      </c>
      <c r="M705" s="427"/>
    </row>
    <row r="706" spans="2:13" ht="14.4" hidden="1" outlineLevel="1" x14ac:dyDescent="0.3">
      <c r="B706" s="425">
        <f t="shared" si="28"/>
        <v>46</v>
      </c>
      <c r="C706" s="95" t="s">
        <v>456</v>
      </c>
      <c r="D706" s="429" t="s">
        <v>796</v>
      </c>
      <c r="E706" s="429" t="s">
        <v>797</v>
      </c>
      <c r="F706" s="91"/>
      <c r="G706" s="91"/>
      <c r="H706" s="91"/>
      <c r="I706" s="91"/>
      <c r="J706" s="91"/>
      <c r="K706" s="91"/>
      <c r="L706" s="91"/>
      <c r="M706" s="91"/>
    </row>
    <row r="707" spans="2:13" ht="14.4" hidden="1" outlineLevel="1" x14ac:dyDescent="0.3">
      <c r="B707" s="425">
        <f t="shared" si="28"/>
        <v>47</v>
      </c>
      <c r="C707" s="95" t="s">
        <v>456</v>
      </c>
      <c r="D707" s="429" t="s">
        <v>796</v>
      </c>
      <c r="E707" s="429" t="s">
        <v>797</v>
      </c>
      <c r="F707" s="91"/>
      <c r="G707" s="91"/>
      <c r="H707" s="91"/>
      <c r="I707" s="91"/>
      <c r="J707" s="91"/>
      <c r="K707" s="91"/>
      <c r="L707" s="91"/>
      <c r="M707" s="91"/>
    </row>
    <row r="708" spans="2:13" ht="14.4" hidden="1" outlineLevel="1" x14ac:dyDescent="0.3">
      <c r="B708" s="425">
        <f t="shared" si="28"/>
        <v>48</v>
      </c>
      <c r="C708" s="95" t="s">
        <v>456</v>
      </c>
      <c r="D708" s="429" t="s">
        <v>796</v>
      </c>
      <c r="E708" s="429" t="s">
        <v>797</v>
      </c>
      <c r="F708" s="91"/>
      <c r="G708" s="91"/>
      <c r="H708" s="91"/>
      <c r="I708" s="91"/>
      <c r="J708" s="91"/>
      <c r="K708" s="91"/>
      <c r="L708" s="91"/>
      <c r="M708" s="91"/>
    </row>
    <row r="709" spans="2:13" ht="14.4" hidden="1" outlineLevel="1" x14ac:dyDescent="0.3">
      <c r="B709" s="425">
        <f t="shared" si="28"/>
        <v>49</v>
      </c>
      <c r="C709" s="95" t="s">
        <v>456</v>
      </c>
      <c r="D709" s="429" t="s">
        <v>796</v>
      </c>
      <c r="E709" s="429" t="s">
        <v>797</v>
      </c>
      <c r="F709" s="91"/>
      <c r="G709" s="91"/>
      <c r="H709" s="91"/>
      <c r="I709" s="91"/>
      <c r="J709" s="91"/>
      <c r="K709" s="91"/>
      <c r="L709" s="91"/>
      <c r="M709" s="91"/>
    </row>
    <row r="710" spans="2:13" ht="14.4" hidden="1" outlineLevel="1" x14ac:dyDescent="0.3">
      <c r="B710" s="425">
        <f t="shared" si="28"/>
        <v>50</v>
      </c>
      <c r="C710" s="95" t="s">
        <v>456</v>
      </c>
      <c r="D710" s="429" t="s">
        <v>796</v>
      </c>
      <c r="E710" s="429" t="s">
        <v>797</v>
      </c>
      <c r="F710" s="91"/>
      <c r="G710" s="91"/>
      <c r="H710" s="91"/>
      <c r="I710" s="91"/>
      <c r="J710" s="91"/>
      <c r="K710" s="91"/>
      <c r="L710" s="91"/>
      <c r="M710" s="91"/>
    </row>
    <row r="711" spans="2:13" ht="14.4" hidden="1" outlineLevel="1" x14ac:dyDescent="0.3">
      <c r="B711" s="425">
        <f t="shared" si="28"/>
        <v>51</v>
      </c>
      <c r="C711" s="95" t="s">
        <v>456</v>
      </c>
      <c r="D711" s="429" t="s">
        <v>796</v>
      </c>
      <c r="E711" s="429" t="s">
        <v>797</v>
      </c>
      <c r="F711" s="91"/>
      <c r="G711" s="91"/>
      <c r="H711" s="91"/>
      <c r="I711" s="91"/>
      <c r="J711" s="91"/>
      <c r="K711" s="91"/>
      <c r="L711" s="91"/>
      <c r="M711" s="91"/>
    </row>
    <row r="712" spans="2:13" ht="14.4" hidden="1" outlineLevel="1" x14ac:dyDescent="0.3">
      <c r="B712" s="425">
        <f t="shared" si="28"/>
        <v>52</v>
      </c>
      <c r="C712" s="95" t="s">
        <v>456</v>
      </c>
      <c r="D712" s="429" t="s">
        <v>796</v>
      </c>
      <c r="E712" s="429" t="s">
        <v>797</v>
      </c>
      <c r="F712" s="91"/>
      <c r="G712" s="91"/>
      <c r="H712" s="91"/>
      <c r="I712" s="91"/>
      <c r="J712" s="91"/>
      <c r="K712" s="91"/>
      <c r="L712" s="91"/>
      <c r="M712" s="91"/>
    </row>
    <row r="713" spans="2:13" ht="14.4" hidden="1" outlineLevel="1" x14ac:dyDescent="0.3">
      <c r="B713" s="425">
        <f t="shared" si="28"/>
        <v>53</v>
      </c>
      <c r="C713" s="95" t="s">
        <v>456</v>
      </c>
      <c r="D713" s="429" t="s">
        <v>796</v>
      </c>
      <c r="E713" s="429" t="s">
        <v>797</v>
      </c>
      <c r="F713" s="91"/>
      <c r="G713" s="91"/>
      <c r="H713" s="91"/>
      <c r="I713" s="91"/>
      <c r="J713" s="91"/>
      <c r="K713" s="91"/>
      <c r="L713" s="91"/>
      <c r="M713" s="91"/>
    </row>
    <row r="714" spans="2:13" ht="14.4" hidden="1" outlineLevel="1" x14ac:dyDescent="0.3">
      <c r="B714" s="425">
        <f t="shared" si="28"/>
        <v>54</v>
      </c>
      <c r="C714" s="95" t="s">
        <v>456</v>
      </c>
      <c r="D714" s="429" t="s">
        <v>796</v>
      </c>
      <c r="E714" s="429" t="s">
        <v>797</v>
      </c>
      <c r="F714" s="91"/>
      <c r="G714" s="91"/>
      <c r="H714" s="91"/>
      <c r="I714" s="91"/>
      <c r="J714" s="91"/>
      <c r="K714" s="91"/>
      <c r="L714" s="91"/>
      <c r="M714" s="91"/>
    </row>
    <row r="715" spans="2:13" ht="14.4" hidden="1" outlineLevel="1" x14ac:dyDescent="0.3">
      <c r="B715" s="425">
        <f t="shared" si="28"/>
        <v>55</v>
      </c>
      <c r="C715" s="95" t="s">
        <v>456</v>
      </c>
      <c r="D715" s="429" t="s">
        <v>796</v>
      </c>
      <c r="E715" s="429" t="s">
        <v>797</v>
      </c>
      <c r="F715" s="91"/>
      <c r="G715" s="91"/>
      <c r="H715" s="91"/>
      <c r="I715" s="91"/>
      <c r="J715" s="91"/>
      <c r="K715" s="91"/>
      <c r="L715" s="91"/>
      <c r="M715" s="91"/>
    </row>
    <row r="716" spans="2:13" ht="14.4" hidden="1" outlineLevel="1" x14ac:dyDescent="0.3">
      <c r="B716" s="425">
        <f t="shared" si="28"/>
        <v>56</v>
      </c>
      <c r="C716" s="95" t="s">
        <v>456</v>
      </c>
      <c r="D716" s="429" t="s">
        <v>796</v>
      </c>
      <c r="E716" s="429" t="s">
        <v>797</v>
      </c>
      <c r="F716" s="91"/>
      <c r="G716" s="91"/>
      <c r="H716" s="91"/>
      <c r="I716" s="91"/>
      <c r="J716" s="91"/>
      <c r="K716" s="91"/>
      <c r="L716" s="91"/>
      <c r="M716" s="91"/>
    </row>
    <row r="717" spans="2:13" ht="14.4" hidden="1" outlineLevel="1" x14ac:dyDescent="0.3">
      <c r="B717" s="425">
        <f t="shared" si="28"/>
        <v>57</v>
      </c>
      <c r="C717" s="95" t="s">
        <v>456</v>
      </c>
      <c r="D717" s="429" t="s">
        <v>796</v>
      </c>
      <c r="E717" s="429" t="s">
        <v>797</v>
      </c>
      <c r="F717" s="91"/>
      <c r="G717" s="91"/>
      <c r="H717" s="91"/>
      <c r="I717" s="91"/>
      <c r="J717" s="91"/>
      <c r="K717" s="91"/>
      <c r="L717" s="91"/>
      <c r="M717" s="91"/>
    </row>
    <row r="718" spans="2:13" ht="14.4" hidden="1" outlineLevel="1" x14ac:dyDescent="0.3">
      <c r="B718" s="425">
        <f t="shared" si="28"/>
        <v>58</v>
      </c>
      <c r="C718" s="95" t="s">
        <v>456</v>
      </c>
      <c r="D718" s="429" t="s">
        <v>796</v>
      </c>
      <c r="E718" s="429" t="s">
        <v>797</v>
      </c>
      <c r="F718" s="91"/>
      <c r="G718" s="91"/>
      <c r="H718" s="91"/>
      <c r="I718" s="91"/>
      <c r="J718" s="91"/>
      <c r="K718" s="91"/>
      <c r="L718" s="91"/>
      <c r="M718" s="91"/>
    </row>
    <row r="719" spans="2:13" ht="14.4" hidden="1" outlineLevel="1" x14ac:dyDescent="0.3">
      <c r="B719" s="425">
        <f t="shared" si="28"/>
        <v>59</v>
      </c>
      <c r="C719" s="95" t="s">
        <v>456</v>
      </c>
      <c r="D719" s="429" t="s">
        <v>796</v>
      </c>
      <c r="E719" s="429" t="s">
        <v>797</v>
      </c>
      <c r="F719" s="91"/>
      <c r="G719" s="91"/>
      <c r="H719" s="91"/>
      <c r="I719" s="91"/>
      <c r="J719" s="91"/>
      <c r="K719" s="91"/>
      <c r="L719" s="91"/>
      <c r="M719" s="91"/>
    </row>
    <row r="720" spans="2:13" ht="14.4" hidden="1" outlineLevel="1" x14ac:dyDescent="0.3">
      <c r="B720" s="425">
        <f t="shared" si="28"/>
        <v>60</v>
      </c>
      <c r="C720" s="95" t="s">
        <v>456</v>
      </c>
      <c r="D720" s="429" t="s">
        <v>796</v>
      </c>
      <c r="E720" s="429" t="s">
        <v>797</v>
      </c>
      <c r="F720" s="91"/>
      <c r="G720" s="91"/>
      <c r="H720" s="91"/>
      <c r="I720" s="91"/>
      <c r="J720" s="91"/>
      <c r="K720" s="91"/>
      <c r="L720" s="91"/>
      <c r="M720" s="91"/>
    </row>
    <row r="721" spans="2:13" ht="14.4" hidden="1" outlineLevel="1" x14ac:dyDescent="0.3">
      <c r="B721" s="425">
        <f t="shared" si="28"/>
        <v>61</v>
      </c>
      <c r="C721" s="95" t="s">
        <v>456</v>
      </c>
      <c r="D721" s="429" t="s">
        <v>796</v>
      </c>
      <c r="E721" s="429" t="s">
        <v>797</v>
      </c>
      <c r="F721" s="91"/>
      <c r="G721" s="91"/>
      <c r="H721" s="91"/>
      <c r="I721" s="91"/>
      <c r="J721" s="91"/>
      <c r="K721" s="91"/>
      <c r="L721" s="91"/>
      <c r="M721" s="91"/>
    </row>
    <row r="722" spans="2:13" ht="14.4" hidden="1" outlineLevel="1" x14ac:dyDescent="0.3">
      <c r="B722" s="425">
        <f t="shared" si="28"/>
        <v>62</v>
      </c>
      <c r="C722" s="95" t="s">
        <v>456</v>
      </c>
      <c r="D722" s="429" t="s">
        <v>796</v>
      </c>
      <c r="E722" s="429" t="s">
        <v>797</v>
      </c>
      <c r="F722" s="91"/>
      <c r="G722" s="91"/>
      <c r="H722" s="91"/>
      <c r="I722" s="91"/>
      <c r="J722" s="91"/>
      <c r="K722" s="91"/>
      <c r="L722" s="91"/>
      <c r="M722" s="91"/>
    </row>
    <row r="723" spans="2:13" ht="14.4" hidden="1" outlineLevel="1" x14ac:dyDescent="0.3">
      <c r="B723" s="425">
        <f t="shared" si="28"/>
        <v>63</v>
      </c>
      <c r="C723" s="95" t="s">
        <v>456</v>
      </c>
      <c r="D723" s="429" t="s">
        <v>796</v>
      </c>
      <c r="E723" s="429" t="s">
        <v>797</v>
      </c>
      <c r="F723" s="91"/>
      <c r="G723" s="91"/>
      <c r="H723" s="91"/>
      <c r="I723" s="91"/>
      <c r="J723" s="91"/>
      <c r="K723" s="91"/>
      <c r="L723" s="91"/>
      <c r="M723" s="91"/>
    </row>
    <row r="724" spans="2:13" ht="14.4" hidden="1" outlineLevel="1" x14ac:dyDescent="0.3">
      <c r="B724" s="425">
        <f t="shared" si="28"/>
        <v>64</v>
      </c>
      <c r="C724" s="95" t="s">
        <v>456</v>
      </c>
      <c r="D724" s="429" t="s">
        <v>796</v>
      </c>
      <c r="E724" s="429" t="s">
        <v>797</v>
      </c>
      <c r="F724" s="91"/>
      <c r="G724" s="91"/>
      <c r="H724" s="91"/>
      <c r="I724" s="91"/>
      <c r="J724" s="91"/>
      <c r="K724" s="91"/>
      <c r="L724" s="91"/>
      <c r="M724" s="91"/>
    </row>
    <row r="725" spans="2:13" ht="14.4" hidden="1" outlineLevel="1" x14ac:dyDescent="0.3">
      <c r="B725" s="425">
        <f t="shared" si="28"/>
        <v>65</v>
      </c>
      <c r="C725" s="95" t="s">
        <v>456</v>
      </c>
      <c r="D725" s="429" t="s">
        <v>796</v>
      </c>
      <c r="E725" s="429" t="s">
        <v>797</v>
      </c>
      <c r="F725" s="91"/>
      <c r="G725" s="91"/>
      <c r="H725" s="91"/>
      <c r="I725" s="91"/>
      <c r="J725" s="91"/>
      <c r="K725" s="91"/>
      <c r="L725" s="91"/>
      <c r="M725" s="91"/>
    </row>
    <row r="726" spans="2:13" ht="14.4" hidden="1" outlineLevel="1" x14ac:dyDescent="0.3">
      <c r="B726" s="425">
        <f t="shared" si="28"/>
        <v>66</v>
      </c>
      <c r="C726" s="95" t="s">
        <v>456</v>
      </c>
      <c r="D726" s="429" t="s">
        <v>796</v>
      </c>
      <c r="E726" s="429" t="s">
        <v>797</v>
      </c>
      <c r="F726" s="91"/>
      <c r="G726" s="91"/>
      <c r="H726" s="91"/>
      <c r="I726" s="91"/>
      <c r="J726" s="91"/>
      <c r="K726" s="91"/>
      <c r="L726" s="91"/>
      <c r="M726" s="91"/>
    </row>
    <row r="727" spans="2:13" ht="14.4" hidden="1" outlineLevel="1" x14ac:dyDescent="0.3">
      <c r="B727" s="425">
        <f t="shared" ref="B727:B740" si="29">1+B726</f>
        <v>67</v>
      </c>
      <c r="C727" s="95" t="s">
        <v>456</v>
      </c>
      <c r="D727" s="429" t="s">
        <v>796</v>
      </c>
      <c r="E727" s="429" t="s">
        <v>797</v>
      </c>
      <c r="F727" s="91"/>
      <c r="G727" s="91"/>
      <c r="H727" s="91"/>
      <c r="I727" s="91"/>
      <c r="J727" s="91"/>
      <c r="K727" s="91"/>
      <c r="L727" s="91"/>
      <c r="M727" s="91"/>
    </row>
    <row r="728" spans="2:13" ht="14.4" hidden="1" outlineLevel="1" x14ac:dyDescent="0.3">
      <c r="B728" s="425">
        <f t="shared" si="29"/>
        <v>68</v>
      </c>
      <c r="C728" s="95" t="s">
        <v>456</v>
      </c>
      <c r="D728" s="429" t="s">
        <v>796</v>
      </c>
      <c r="E728" s="429" t="s">
        <v>797</v>
      </c>
      <c r="F728" s="91"/>
      <c r="G728" s="91"/>
      <c r="H728" s="91"/>
      <c r="I728" s="91"/>
      <c r="J728" s="91"/>
      <c r="K728" s="91"/>
      <c r="L728" s="91"/>
      <c r="M728" s="91"/>
    </row>
    <row r="729" spans="2:13" ht="14.4" hidden="1" outlineLevel="1" x14ac:dyDescent="0.3">
      <c r="B729" s="425">
        <f t="shared" si="29"/>
        <v>69</v>
      </c>
      <c r="C729" s="95" t="s">
        <v>456</v>
      </c>
      <c r="D729" s="429" t="s">
        <v>796</v>
      </c>
      <c r="E729" s="429" t="s">
        <v>797</v>
      </c>
      <c r="F729" s="91"/>
      <c r="G729" s="91"/>
      <c r="H729" s="91"/>
      <c r="I729" s="91"/>
      <c r="J729" s="91"/>
      <c r="K729" s="91"/>
      <c r="L729" s="91"/>
      <c r="M729" s="91"/>
    </row>
    <row r="730" spans="2:13" ht="14.4" hidden="1" outlineLevel="1" x14ac:dyDescent="0.3">
      <c r="B730" s="425">
        <f t="shared" si="29"/>
        <v>70</v>
      </c>
      <c r="C730" s="95" t="s">
        <v>456</v>
      </c>
      <c r="D730" s="429" t="s">
        <v>796</v>
      </c>
      <c r="E730" s="429" t="s">
        <v>797</v>
      </c>
      <c r="F730" s="91"/>
      <c r="G730" s="91"/>
      <c r="H730" s="91"/>
      <c r="I730" s="91"/>
      <c r="J730" s="91"/>
      <c r="K730" s="91"/>
      <c r="L730" s="91"/>
      <c r="M730" s="91"/>
    </row>
    <row r="731" spans="2:13" ht="14.4" hidden="1" outlineLevel="1" x14ac:dyDescent="0.3">
      <c r="B731" s="425">
        <f t="shared" si="29"/>
        <v>71</v>
      </c>
      <c r="C731" s="95" t="s">
        <v>456</v>
      </c>
      <c r="D731" s="429" t="s">
        <v>796</v>
      </c>
      <c r="E731" s="429" t="s">
        <v>797</v>
      </c>
      <c r="F731" s="91"/>
      <c r="G731" s="91"/>
      <c r="H731" s="91"/>
      <c r="I731" s="91"/>
      <c r="J731" s="91"/>
      <c r="K731" s="91"/>
      <c r="L731" s="91"/>
      <c r="M731" s="91"/>
    </row>
    <row r="732" spans="2:13" ht="14.4" hidden="1" outlineLevel="1" x14ac:dyDescent="0.3">
      <c r="B732" s="425">
        <f t="shared" si="29"/>
        <v>72</v>
      </c>
      <c r="C732" s="95" t="s">
        <v>456</v>
      </c>
      <c r="D732" s="429" t="s">
        <v>796</v>
      </c>
      <c r="E732" s="429" t="s">
        <v>797</v>
      </c>
      <c r="F732" s="91"/>
      <c r="G732" s="91"/>
      <c r="H732" s="91"/>
      <c r="I732" s="91"/>
      <c r="J732" s="91"/>
      <c r="K732" s="91"/>
      <c r="L732" s="91"/>
      <c r="M732" s="91"/>
    </row>
    <row r="733" spans="2:13" ht="14.4" hidden="1" outlineLevel="1" x14ac:dyDescent="0.3">
      <c r="B733" s="425">
        <f t="shared" si="29"/>
        <v>73</v>
      </c>
      <c r="C733" s="95" t="s">
        <v>456</v>
      </c>
      <c r="D733" s="429" t="s">
        <v>796</v>
      </c>
      <c r="E733" s="429" t="s">
        <v>797</v>
      </c>
      <c r="F733" s="91"/>
      <c r="G733" s="91"/>
      <c r="H733" s="91"/>
      <c r="I733" s="91"/>
      <c r="J733" s="91"/>
      <c r="K733" s="91"/>
      <c r="L733" s="91"/>
      <c r="M733" s="91"/>
    </row>
    <row r="734" spans="2:13" ht="14.4" hidden="1" outlineLevel="1" x14ac:dyDescent="0.3">
      <c r="B734" s="425">
        <f t="shared" si="29"/>
        <v>74</v>
      </c>
      <c r="C734" s="95" t="s">
        <v>456</v>
      </c>
      <c r="D734" s="429" t="s">
        <v>796</v>
      </c>
      <c r="E734" s="429" t="s">
        <v>797</v>
      </c>
      <c r="F734" s="91"/>
      <c r="G734" s="91"/>
      <c r="H734" s="91"/>
      <c r="I734" s="91"/>
      <c r="J734" s="91"/>
      <c r="K734" s="91"/>
      <c r="L734" s="91"/>
      <c r="M734" s="91"/>
    </row>
    <row r="735" spans="2:13" ht="14.4" hidden="1" outlineLevel="1" x14ac:dyDescent="0.3">
      <c r="B735" s="425">
        <f t="shared" si="29"/>
        <v>75</v>
      </c>
      <c r="C735" s="95" t="s">
        <v>456</v>
      </c>
      <c r="D735" s="429" t="s">
        <v>796</v>
      </c>
      <c r="E735" s="429" t="s">
        <v>797</v>
      </c>
      <c r="F735" s="91"/>
      <c r="G735" s="91"/>
      <c r="H735" s="91"/>
      <c r="I735" s="91"/>
      <c r="J735" s="91"/>
      <c r="K735" s="91"/>
      <c r="L735" s="91"/>
      <c r="M735" s="91"/>
    </row>
    <row r="736" spans="2:13" ht="14.4" hidden="1" outlineLevel="1" x14ac:dyDescent="0.3">
      <c r="B736" s="425">
        <f t="shared" si="29"/>
        <v>76</v>
      </c>
      <c r="C736" s="95" t="s">
        <v>456</v>
      </c>
      <c r="D736" s="429" t="s">
        <v>796</v>
      </c>
      <c r="E736" s="429" t="s">
        <v>797</v>
      </c>
      <c r="F736" s="91"/>
      <c r="G736" s="91"/>
      <c r="H736" s="91"/>
      <c r="I736" s="91"/>
      <c r="J736" s="91"/>
      <c r="K736" s="91"/>
      <c r="L736" s="91"/>
      <c r="M736" s="91"/>
    </row>
    <row r="737" spans="1:116" ht="14.4" hidden="1" outlineLevel="1" x14ac:dyDescent="0.3">
      <c r="B737" s="425">
        <f t="shared" si="29"/>
        <v>77</v>
      </c>
      <c r="C737" s="95" t="s">
        <v>456</v>
      </c>
      <c r="D737" s="429" t="s">
        <v>796</v>
      </c>
      <c r="E737" s="429" t="s">
        <v>797</v>
      </c>
      <c r="F737" s="91"/>
      <c r="G737" s="91"/>
      <c r="H737" s="91"/>
      <c r="I737" s="91"/>
      <c r="J737" s="91"/>
      <c r="K737" s="91"/>
      <c r="L737" s="91"/>
      <c r="M737" s="91"/>
    </row>
    <row r="738" spans="1:116" ht="14.4" hidden="1" outlineLevel="1" x14ac:dyDescent="0.3">
      <c r="B738" s="425">
        <f t="shared" si="29"/>
        <v>78</v>
      </c>
      <c r="C738" s="95" t="s">
        <v>456</v>
      </c>
      <c r="D738" s="429" t="s">
        <v>796</v>
      </c>
      <c r="E738" s="429" t="s">
        <v>797</v>
      </c>
      <c r="F738" s="91"/>
      <c r="G738" s="91"/>
      <c r="H738" s="91"/>
      <c r="I738" s="91"/>
      <c r="J738" s="91"/>
      <c r="K738" s="91"/>
      <c r="L738" s="91"/>
      <c r="M738" s="91"/>
    </row>
    <row r="739" spans="1:116" ht="14.4" hidden="1" outlineLevel="1" x14ac:dyDescent="0.3">
      <c r="B739" s="425">
        <f t="shared" si="29"/>
        <v>79</v>
      </c>
      <c r="C739" s="95" t="s">
        <v>456</v>
      </c>
      <c r="D739" s="429" t="s">
        <v>796</v>
      </c>
      <c r="E739" s="429" t="s">
        <v>797</v>
      </c>
      <c r="F739" s="91"/>
      <c r="G739" s="91"/>
      <c r="H739" s="91"/>
      <c r="I739" s="91"/>
      <c r="J739" s="91"/>
      <c r="K739" s="91"/>
      <c r="L739" s="91"/>
      <c r="M739" s="91"/>
    </row>
    <row r="740" spans="1:116" ht="14.4" hidden="1" x14ac:dyDescent="0.3">
      <c r="B740" s="425">
        <f t="shared" si="29"/>
        <v>80</v>
      </c>
      <c r="C740" s="95" t="s">
        <v>456</v>
      </c>
      <c r="D740" s="429" t="s">
        <v>796</v>
      </c>
      <c r="E740" s="429" t="s">
        <v>797</v>
      </c>
      <c r="F740" s="91"/>
      <c r="G740" s="91"/>
      <c r="H740" s="91"/>
      <c r="I740" s="91"/>
      <c r="J740" s="91"/>
      <c r="K740" s="91"/>
      <c r="L740" s="91"/>
      <c r="M740" s="91"/>
    </row>
    <row r="741" spans="1:116" x14ac:dyDescent="0.2">
      <c r="B741" s="252"/>
      <c r="C741" s="252" t="s">
        <v>956</v>
      </c>
      <c r="D741" s="252"/>
      <c r="E741" s="252"/>
      <c r="F741" s="252"/>
      <c r="G741" s="252"/>
      <c r="H741" s="252"/>
      <c r="I741" s="252"/>
      <c r="J741" s="252"/>
      <c r="K741" s="252"/>
    </row>
    <row r="742" spans="1:116" x14ac:dyDescent="0.2">
      <c r="B742" s="252"/>
      <c r="C742" t="s">
        <v>798</v>
      </c>
      <c r="D742" s="252"/>
      <c r="E742" s="252"/>
      <c r="F742" s="252"/>
      <c r="G742" s="252"/>
      <c r="H742" s="252"/>
      <c r="I742" s="252"/>
      <c r="J742" s="252"/>
      <c r="K742" s="252"/>
    </row>
    <row r="743" spans="1:116" ht="15.6" x14ac:dyDescent="0.2">
      <c r="A743" s="412" t="s">
        <v>358</v>
      </c>
      <c r="B743" s="412" t="s">
        <v>292</v>
      </c>
      <c r="C743" s="412"/>
      <c r="D743" s="413"/>
      <c r="E743" s="413"/>
      <c r="F743" s="413"/>
      <c r="G743" s="413"/>
      <c r="H743" s="413"/>
      <c r="I743" s="413"/>
      <c r="J743" s="413"/>
      <c r="K743" s="413"/>
      <c r="L743" s="413"/>
      <c r="M743" s="413"/>
      <c r="N743" s="413"/>
      <c r="O743" s="413"/>
      <c r="P743" s="413"/>
      <c r="Q743" s="413"/>
      <c r="R743" s="413"/>
      <c r="S743" s="413"/>
      <c r="T743" s="413"/>
      <c r="U743" s="413"/>
      <c r="V743" s="413"/>
      <c r="W743" s="413"/>
      <c r="X743" s="413"/>
      <c r="Y743" s="413"/>
      <c r="Z743" s="413"/>
      <c r="AA743" s="413"/>
      <c r="AB743" s="413"/>
      <c r="AC743" s="413"/>
      <c r="AD743" s="413"/>
      <c r="AE743" s="413"/>
      <c r="AF743" s="413"/>
      <c r="AG743" s="413"/>
      <c r="AH743" s="413"/>
      <c r="AI743" s="413"/>
      <c r="AJ743" s="413"/>
      <c r="AK743" s="413"/>
      <c r="AL743" s="413"/>
      <c r="AM743" s="413"/>
      <c r="AN743" s="413"/>
      <c r="AO743" s="413"/>
      <c r="AP743" s="413"/>
      <c r="AQ743" s="413"/>
      <c r="AR743" s="413"/>
      <c r="AS743" s="413"/>
      <c r="AT743" s="413"/>
      <c r="AU743" s="413"/>
      <c r="AV743" s="413"/>
      <c r="AW743" s="413"/>
      <c r="AX743" s="413"/>
      <c r="AY743" s="413"/>
      <c r="AZ743" s="413"/>
      <c r="BA743" s="413"/>
      <c r="BB743" s="413"/>
      <c r="BC743" s="413"/>
      <c r="BD743" s="413"/>
      <c r="BE743" s="413"/>
      <c r="BF743" s="413"/>
      <c r="BG743" s="413"/>
      <c r="BH743" s="413"/>
      <c r="BI743" s="413"/>
      <c r="BJ743" s="413"/>
      <c r="BK743" s="413"/>
      <c r="BL743" s="413"/>
      <c r="BM743" s="413"/>
      <c r="BN743" s="413"/>
      <c r="BO743" s="413"/>
      <c r="BP743" s="413"/>
      <c r="BQ743" s="413"/>
      <c r="BR743" s="413"/>
      <c r="BS743" s="413"/>
      <c r="BT743" s="413"/>
      <c r="BU743" s="413"/>
      <c r="BV743" s="413"/>
      <c r="BW743" s="413"/>
      <c r="BX743" s="413"/>
      <c r="BY743" s="413"/>
      <c r="BZ743" s="413"/>
      <c r="CA743" s="413"/>
      <c r="CB743" s="413"/>
      <c r="CC743" s="413"/>
      <c r="CD743" s="413"/>
      <c r="CE743" s="413"/>
      <c r="CF743" s="413"/>
      <c r="CG743" s="413"/>
      <c r="CH743" s="413"/>
      <c r="CI743" s="413"/>
      <c r="CJ743" s="413"/>
      <c r="CK743" s="413"/>
      <c r="CL743" s="413"/>
      <c r="CM743" s="413"/>
      <c r="CN743" s="413"/>
      <c r="CO743" s="413"/>
      <c r="CP743" s="413"/>
      <c r="CQ743" s="413"/>
      <c r="CR743" s="413"/>
      <c r="CS743" s="413"/>
      <c r="CT743" s="413"/>
      <c r="CU743" s="413"/>
      <c r="CV743" s="413"/>
      <c r="CW743" s="413"/>
      <c r="CX743" s="413"/>
      <c r="CY743" s="413"/>
      <c r="CZ743" s="413"/>
      <c r="DA743" s="413"/>
      <c r="DB743" s="413"/>
      <c r="DC743" s="413"/>
      <c r="DD743" s="413"/>
      <c r="DE743" s="413"/>
      <c r="DF743" s="413"/>
      <c r="DG743" s="413"/>
      <c r="DH743" s="413"/>
      <c r="DI743" s="413"/>
      <c r="DJ743" s="413"/>
      <c r="DK743" s="413"/>
      <c r="DL743" s="413"/>
    </row>
  </sheetData>
  <autoFilter ref="A101:DL181" xr:uid="{635C241F-3F04-4711-BC2C-3C7D83982E74}"/>
  <dataConsolidate/>
  <mergeCells count="35">
    <mergeCell ref="F659:I659"/>
    <mergeCell ref="J659:M659"/>
    <mergeCell ref="X389:AF389"/>
    <mergeCell ref="AW389:AZ389"/>
    <mergeCell ref="BA389:BC389"/>
    <mergeCell ref="BL289:BR289"/>
    <mergeCell ref="BA388:BM388"/>
    <mergeCell ref="BD389:BK389"/>
    <mergeCell ref="BL389:BR389"/>
    <mergeCell ref="C480:C481"/>
    <mergeCell ref="D480:D481"/>
    <mergeCell ref="E480:E481"/>
    <mergeCell ref="F480:I480"/>
    <mergeCell ref="J480:L480"/>
    <mergeCell ref="H389:I389"/>
    <mergeCell ref="J389:L389"/>
    <mergeCell ref="M389:N389"/>
    <mergeCell ref="O389:T389"/>
    <mergeCell ref="U389:W389"/>
    <mergeCell ref="BA288:BM288"/>
    <mergeCell ref="BS389:BW389"/>
    <mergeCell ref="X289:AF289"/>
    <mergeCell ref="C6:F6"/>
    <mergeCell ref="C100:F100"/>
    <mergeCell ref="C188:F188"/>
    <mergeCell ref="G189:H189"/>
    <mergeCell ref="I189:J189"/>
    <mergeCell ref="H289:I289"/>
    <mergeCell ref="J289:L289"/>
    <mergeCell ref="M289:N289"/>
    <mergeCell ref="O289:T289"/>
    <mergeCell ref="U289:W289"/>
    <mergeCell ref="AW289:AZ289"/>
    <mergeCell ref="BA289:BC289"/>
    <mergeCell ref="BD289:BK289"/>
  </mergeCells>
  <conditionalFormatting sqref="J8:L92 J102:L178">
    <cfRule type="expression" dxfId="18" priority="119">
      <formula>$I8="No"</formula>
    </cfRule>
  </conditionalFormatting>
  <conditionalFormatting sqref="N8:AQ92 N102:AQ178">
    <cfRule type="expression" dxfId="17" priority="122">
      <formula>$M8="No"</formula>
    </cfRule>
  </conditionalFormatting>
  <conditionalFormatting sqref="R291:T375">
    <cfRule type="expression" dxfId="16" priority="57">
      <formula>$Q291="No"</formula>
    </cfRule>
  </conditionalFormatting>
  <conditionalFormatting sqref="R391:T467">
    <cfRule type="expression" dxfId="15" priority="1">
      <formula>$Q391="No"</formula>
    </cfRule>
  </conditionalFormatting>
  <conditionalFormatting sqref="AS8:AS52">
    <cfRule type="expression" dxfId="14" priority="131">
      <formula>$AR8="No"</formula>
    </cfRule>
  </conditionalFormatting>
  <conditionalFormatting sqref="AS8:AU92">
    <cfRule type="expression" dxfId="13" priority="130">
      <formula>$AR8="No"</formula>
    </cfRule>
  </conditionalFormatting>
  <conditionalFormatting sqref="AS9:AU9">
    <cfRule type="expression" dxfId="12" priority="132">
      <formula>$AR$9="No"</formula>
    </cfRule>
  </conditionalFormatting>
  <conditionalFormatting sqref="AS102:AU178">
    <cfRule type="expression" dxfId="11" priority="128">
      <formula>$AR102="No"</formula>
    </cfRule>
  </conditionalFormatting>
  <conditionalFormatting sqref="AS103:AU103">
    <cfRule type="expression" dxfId="10" priority="113">
      <formula>$AR$9="No"</formula>
    </cfRule>
  </conditionalFormatting>
  <conditionalFormatting sqref="AW8:AZ92">
    <cfRule type="expression" dxfId="9" priority="129">
      <formula>$AV8="No"</formula>
    </cfRule>
  </conditionalFormatting>
  <conditionalFormatting sqref="AW102:AZ178">
    <cfRule type="expression" dxfId="8" priority="127">
      <formula>$AV102="No"</formula>
    </cfRule>
  </conditionalFormatting>
  <conditionalFormatting sqref="BB291:BC375">
    <cfRule type="expression" dxfId="7" priority="67">
      <formula>$BA291="No"</formula>
    </cfRule>
  </conditionalFormatting>
  <conditionalFormatting sqref="BB391:BC467">
    <cfRule type="expression" dxfId="6" priority="11">
      <formula>$BA391="No"</formula>
    </cfRule>
  </conditionalFormatting>
  <conditionalFormatting sqref="BF291:BK375">
    <cfRule type="expression" dxfId="5" priority="70">
      <formula>$BD291="No"</formula>
    </cfRule>
  </conditionalFormatting>
  <conditionalFormatting sqref="BF391:BK467">
    <cfRule type="expression" dxfId="4" priority="14">
      <formula>$BD391="No"</formula>
    </cfRule>
  </conditionalFormatting>
  <conditionalFormatting sqref="BM291:BN375">
    <cfRule type="expression" dxfId="3" priority="64">
      <formula>$BL291="No"</formula>
    </cfRule>
  </conditionalFormatting>
  <conditionalFormatting sqref="BM391:BN467">
    <cfRule type="expression" dxfId="2" priority="8">
      <formula>$BL391="No"</formula>
    </cfRule>
  </conditionalFormatting>
  <conditionalFormatting sqref="BP291:BR375">
    <cfRule type="expression" dxfId="1" priority="59">
      <formula>$BO291="No"</formula>
    </cfRule>
  </conditionalFormatting>
  <conditionalFormatting sqref="BP391:BR467">
    <cfRule type="expression" dxfId="0" priority="3">
      <formula>$BO391="No"</formula>
    </cfRule>
  </conditionalFormatting>
  <dataValidations count="6">
    <dataValidation type="list" allowBlank="1" showInputMessage="1" showErrorMessage="1" sqref="BE291:BE375 X336:X375 BE391:BE467 U291:W375 U391:W467 X433:X467" xr:uid="{E69BE605-03C3-4F2F-9B5E-320D3B0859DD}">
      <formula1>netflix</formula1>
    </dataValidation>
    <dataValidation type="list" allowBlank="1" showInputMessage="1" showErrorMessage="1" sqref="F191:F271" xr:uid="{596DAABC-848B-4C84-AE44-EF5F4DC9C6D2}">
      <formula1>tipo.contraprestación</formula1>
    </dataValidation>
    <dataValidation type="list" allowBlank="1" showInputMessage="1" showErrorMessage="1" sqref="D8:D92 D291:D375 D482:D526 D102:D178 D391:D467" xr:uid="{F619BEF9-E8C0-4CEA-8E02-C9C83BA55DB5}">
      <formula1>modalidad</formula1>
    </dataValidation>
    <dataValidation type="list" allowBlank="1" showInputMessage="1" showErrorMessage="1" sqref="F8:F92 F102:F178" xr:uid="{56734C1E-AB50-4A60-8B68-C0EEED14D213}">
      <formula1>Tipo.Cobro</formula1>
    </dataValidation>
    <dataValidation type="list" allowBlank="1" showInputMessage="1" showErrorMessage="1" sqref="Y661:Y740 AE571:AE650 D661:D740 Z482:Z561 D191:D271 D571:D650 D527:D561" xr:uid="{FC1C6F85-73B3-45B2-9016-F361A62EC6B9}">
      <formula1>Tipo.Modalidad</formula1>
    </dataValidation>
    <dataValidation type="list" allowBlank="1" showInputMessage="1" showErrorMessage="1" sqref="E291:E375 E8:E92 E191:E271 E571:E650 AA482:AA561 AF571:AF650 E661:E740 Z661:Z740 E482:E561 E102:E178 E391:E467" xr:uid="{36FB51D8-2906-4930-A0A9-E550D0B99030}">
      <formula1>Tipo.Servicio</formula1>
    </dataValidation>
  </dataValidations>
  <pageMargins left="0.70866141732283472" right="0.70866141732283472" top="0.51181102362204722" bottom="0.51181102362204722" header="0.51181102362204722" footer="0.35433070866141736"/>
  <pageSetup paperSize="9" orientation="landscape" horizontalDpi="4294967292" verticalDpi="4294967292" r:id="rId1"/>
  <headerFooter alignWithMargins="0">
    <oddFooter xml:space="preserve">&amp;L&amp;F : &amp;A&amp;CPrinted at &amp;T on &amp;D&amp;RCommercial in confidence © Analysys Mason </oddFooter>
  </headerFooter>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FBAA098E-DE0C-40D8-9931-BCE4B167C334}">
          <x14:formula1>
            <xm:f>'C:\Users\msbarqui\Documents\TMX\Prospectiva\Modelos\Req_OREDA_2026-2027\[Worksheet - Entrega Requerimiento MCE 2024 - 079_2024 churn.xlsx]listas'!#REF!</xm:f>
          </x14:formula1>
          <xm:sqref>Q291:Q335 BA291:BA335 BL291:BL335 BD291:BD335 BO291:BO335 BO391:BO432 BD391:BD432 BL391:BL432 BA391:BA432 Q391:Q432</xm:sqref>
        </x14:dataValidation>
        <x14:dataValidation type="list" allowBlank="1" showInputMessage="1" showErrorMessage="1" xr:uid="{D673B0C4-7486-4308-B736-BD7DCBD6B222}">
          <x14:formula1>
            <xm:f>'https://iftorgmx-my.sharepoint.com/personal/cesar_martinez_ift_org_mx/Documents/2025/Modelos de costos/3S.22.5-25.001.25/3. Actualización/[entregarequerimientodeinformaciónmce2026upr023_2025.xlsx]listas'!#REF!</xm:f>
          </x14:formula1>
          <xm:sqref>BL336:BL375 BO336:BO375 I53:I92 M53:M92 BA336:BA375 AR53:AR92 I144:I178 BD336:BD375 Q433:Q467 BL433:BL467 BO433:BO467 BA433:BA467 Q336:Q375 BD433:BD467 AV53:AV92 AR144:AR178 M144:M178 AV144:AV178</xm:sqref>
        </x14:dataValidation>
      </x14:dataValidation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3FA49-453D-4F13-A8A5-F95484F5C625}">
  <sheetPr codeName="Hoja15">
    <tabColor theme="4" tint="-0.249977111117893"/>
    <pageSetUpPr autoPageBreaks="0"/>
  </sheetPr>
  <dimension ref="A1:CM626"/>
  <sheetViews>
    <sheetView showGridLines="0" defaultGridColor="0" colorId="22" zoomScale="54" zoomScaleNormal="80" workbookViewId="0">
      <pane ySplit="1" topLeftCell="A2" activePane="bottomLeft" state="frozen"/>
      <selection pane="bottomLeft" activeCell="E366" sqref="E366:K411"/>
    </sheetView>
  </sheetViews>
  <sheetFormatPr baseColWidth="10" defaultColWidth="12.75" defaultRowHeight="11.4" outlineLevelRow="1" x14ac:dyDescent="0.2"/>
  <cols>
    <col min="1" max="1" width="6.75" customWidth="1"/>
    <col min="3" max="3" width="44.75" customWidth="1"/>
    <col min="4" max="4" width="19.375" customWidth="1"/>
    <col min="5" max="5" width="17.75" bestFit="1" customWidth="1"/>
    <col min="6" max="6" width="33.25" customWidth="1"/>
    <col min="7" max="7" width="39" customWidth="1"/>
    <col min="8" max="8" width="23.125" customWidth="1"/>
    <col min="9" max="9" width="35.375" customWidth="1"/>
    <col min="10" max="10" width="23.375" customWidth="1"/>
    <col min="11" max="12" width="20.25" customWidth="1"/>
    <col min="13" max="13" width="19.25" customWidth="1"/>
    <col min="14" max="17" width="14" customWidth="1"/>
    <col min="18" max="18" width="19.75" customWidth="1"/>
    <col min="19" max="19" width="16.625" customWidth="1"/>
    <col min="20" max="21" width="17" customWidth="1"/>
    <col min="22" max="22" width="17" bestFit="1" customWidth="1"/>
    <col min="23" max="23" width="16" bestFit="1" customWidth="1"/>
    <col min="24" max="24" width="51.875" customWidth="1"/>
    <col min="25" max="25" width="17.75" customWidth="1"/>
    <col min="27" max="27" width="19.375" customWidth="1"/>
    <col min="28" max="28" width="16.125" customWidth="1"/>
    <col min="29" max="29" width="20.875" customWidth="1"/>
    <col min="31" max="31" width="19.625" customWidth="1"/>
  </cols>
  <sheetData>
    <row r="1" spans="1:91" s="87" customFormat="1" ht="33.75" customHeight="1" x14ac:dyDescent="0.2">
      <c r="A1" s="411"/>
      <c r="D1" s="87" t="s">
        <v>1059</v>
      </c>
    </row>
    <row r="2" spans="1:91" s="414" customFormat="1" ht="15.6" x14ac:dyDescent="0.2">
      <c r="A2" s="412"/>
      <c r="B2" s="412" t="s">
        <v>972</v>
      </c>
      <c r="C2" s="412"/>
      <c r="D2" s="413"/>
      <c r="E2" s="413"/>
      <c r="F2" s="413"/>
      <c r="G2" s="413"/>
      <c r="H2" s="413"/>
      <c r="I2" s="413"/>
      <c r="J2" s="413"/>
      <c r="K2" s="413"/>
      <c r="L2" s="413"/>
      <c r="M2" s="413"/>
      <c r="N2" s="413"/>
      <c r="O2" s="413"/>
      <c r="P2" s="413"/>
      <c r="Q2" s="413"/>
      <c r="R2" s="413"/>
      <c r="S2" s="413"/>
      <c r="T2" s="413"/>
      <c r="U2" s="413"/>
      <c r="V2" s="413"/>
      <c r="W2" s="413"/>
      <c r="X2" s="413"/>
      <c r="Y2" s="413"/>
      <c r="Z2" s="413"/>
      <c r="AA2" s="413"/>
      <c r="AB2" s="413"/>
      <c r="AC2" s="413"/>
      <c r="AD2" s="413"/>
      <c r="AE2" s="413"/>
      <c r="AF2" s="413"/>
      <c r="AG2" s="413"/>
      <c r="AH2" s="413"/>
      <c r="AI2" s="413"/>
      <c r="AJ2" s="413"/>
      <c r="AK2" s="413"/>
      <c r="AL2" s="413"/>
      <c r="AM2" s="413"/>
      <c r="AN2" s="413"/>
      <c r="AO2" s="413"/>
      <c r="AP2" s="413"/>
      <c r="AQ2" s="413"/>
      <c r="AR2" s="413"/>
      <c r="AS2" s="413"/>
      <c r="AT2" s="413"/>
      <c r="AU2" s="413"/>
      <c r="AV2" s="413"/>
      <c r="AW2" s="413"/>
      <c r="AX2" s="413"/>
      <c r="AY2" s="413"/>
      <c r="AZ2" s="413"/>
      <c r="BA2" s="413"/>
      <c r="BB2" s="413"/>
      <c r="BC2" s="413"/>
      <c r="BD2" s="413"/>
      <c r="BE2" s="413"/>
      <c r="BF2" s="413"/>
      <c r="BG2" s="413"/>
      <c r="BH2" s="413"/>
      <c r="BI2" s="413"/>
      <c r="BJ2" s="413"/>
      <c r="BK2" s="413"/>
      <c r="BL2" s="413"/>
      <c r="BM2" s="413"/>
      <c r="BN2" s="413"/>
      <c r="BO2" s="413"/>
      <c r="BP2" s="413"/>
      <c r="BQ2" s="413"/>
      <c r="BR2" s="413"/>
      <c r="BS2" s="413"/>
      <c r="BT2" s="413"/>
      <c r="BU2" s="413"/>
      <c r="BV2" s="413"/>
      <c r="BW2" s="413"/>
      <c r="BX2" s="413"/>
      <c r="BY2" s="413"/>
      <c r="BZ2" s="413"/>
      <c r="CA2" s="413"/>
      <c r="CB2" s="413"/>
      <c r="CC2" s="413"/>
      <c r="CD2" s="413"/>
      <c r="CE2" s="413"/>
      <c r="CF2" s="413"/>
      <c r="CG2" s="413"/>
      <c r="CH2" s="413"/>
      <c r="CI2" s="413"/>
      <c r="CJ2" s="413"/>
      <c r="CK2" s="413"/>
      <c r="CL2" s="413"/>
      <c r="CM2" s="413"/>
    </row>
    <row r="3" spans="1:91" x14ac:dyDescent="0.2">
      <c r="C3" s="252"/>
      <c r="D3" s="252"/>
      <c r="E3" s="252"/>
      <c r="F3" s="252"/>
    </row>
    <row r="4" spans="1:91" s="139" customFormat="1" ht="123.75" customHeight="1" x14ac:dyDescent="0.2">
      <c r="C4" s="565" t="s">
        <v>1060</v>
      </c>
      <c r="D4" s="565"/>
      <c r="E4" s="565"/>
      <c r="F4" s="565"/>
      <c r="G4" s="565"/>
      <c r="H4" s="565"/>
      <c r="I4" s="565"/>
      <c r="J4" s="565"/>
      <c r="K4" s="565"/>
      <c r="L4" s="565"/>
      <c r="M4" s="565"/>
      <c r="N4" s="565"/>
      <c r="O4" s="565"/>
    </row>
    <row r="5" spans="1:91" x14ac:dyDescent="0.2">
      <c r="C5" s="252"/>
      <c r="D5" s="252"/>
      <c r="E5" s="252"/>
      <c r="F5" s="252"/>
    </row>
    <row r="6" spans="1:91" ht="15.6" x14ac:dyDescent="0.2">
      <c r="B6" s="252"/>
      <c r="C6" s="9" t="s">
        <v>972</v>
      </c>
    </row>
    <row r="7" spans="1:91" x14ac:dyDescent="0.2">
      <c r="B7" s="252"/>
      <c r="C7" s="468" t="s">
        <v>1061</v>
      </c>
    </row>
    <row r="8" spans="1:91" x14ac:dyDescent="0.2">
      <c r="B8" s="252"/>
      <c r="C8" s="468" t="s">
        <v>973</v>
      </c>
    </row>
    <row r="9" spans="1:91" x14ac:dyDescent="0.2">
      <c r="B9" s="252"/>
      <c r="C9" s="468"/>
    </row>
    <row r="10" spans="1:91" ht="12" x14ac:dyDescent="0.25">
      <c r="B10" s="252"/>
      <c r="C10" s="101" t="s">
        <v>855</v>
      </c>
      <c r="G10" s="501" t="s">
        <v>1062</v>
      </c>
    </row>
    <row r="11" spans="1:91" ht="12" x14ac:dyDescent="0.2">
      <c r="B11" s="252"/>
      <c r="C11" s="415">
        <v>2024</v>
      </c>
      <c r="G11" s="502" t="s">
        <v>1063</v>
      </c>
      <c r="H11" s="503"/>
    </row>
    <row r="12" spans="1:91" x14ac:dyDescent="0.2">
      <c r="B12" s="252"/>
      <c r="C12" s="252"/>
    </row>
    <row r="13" spans="1:91" ht="15.6" x14ac:dyDescent="0.2">
      <c r="B13" s="252"/>
      <c r="C13" s="469" t="s">
        <v>852</v>
      </c>
      <c r="D13" s="437"/>
      <c r="E13" s="437"/>
      <c r="F13" s="437"/>
      <c r="G13" s="438"/>
    </row>
    <row r="14" spans="1:91" x14ac:dyDescent="0.2">
      <c r="B14" s="252"/>
    </row>
    <row r="15" spans="1:91" ht="24" x14ac:dyDescent="0.2">
      <c r="B15" s="252"/>
      <c r="C15" s="96" t="s">
        <v>974</v>
      </c>
      <c r="E15" s="470" t="s">
        <v>975</v>
      </c>
      <c r="F15" s="566" t="s">
        <v>1000</v>
      </c>
      <c r="G15" s="567"/>
      <c r="H15" s="567"/>
      <c r="I15" s="568"/>
      <c r="J15" s="569" t="s">
        <v>977</v>
      </c>
      <c r="K15" s="569"/>
      <c r="L15" s="471" t="s">
        <v>978</v>
      </c>
      <c r="M15" s="472" t="s">
        <v>1001</v>
      </c>
      <c r="N15" s="566" t="s">
        <v>979</v>
      </c>
      <c r="O15" s="567"/>
      <c r="P15" s="567"/>
      <c r="Q15" s="567"/>
      <c r="R15" s="567"/>
      <c r="S15" s="567"/>
      <c r="T15" s="567"/>
      <c r="U15" s="568"/>
      <c r="V15" s="470" t="s">
        <v>980</v>
      </c>
      <c r="W15" s="470"/>
    </row>
    <row r="16" spans="1:91" ht="60" x14ac:dyDescent="0.2">
      <c r="B16" s="252"/>
      <c r="C16" s="418" t="s">
        <v>456</v>
      </c>
      <c r="D16" s="461" t="s">
        <v>380</v>
      </c>
      <c r="E16" s="461" t="s">
        <v>975</v>
      </c>
      <c r="F16" s="461" t="s">
        <v>981</v>
      </c>
      <c r="G16" s="461" t="s">
        <v>982</v>
      </c>
      <c r="H16" s="461" t="s">
        <v>983</v>
      </c>
      <c r="I16" s="473" t="s">
        <v>984</v>
      </c>
      <c r="J16" s="418" t="s">
        <v>977</v>
      </c>
      <c r="K16" s="418" t="s">
        <v>985</v>
      </c>
      <c r="L16" s="461" t="s">
        <v>733</v>
      </c>
      <c r="M16" s="461" t="s">
        <v>1002</v>
      </c>
      <c r="N16" s="461" t="s">
        <v>986</v>
      </c>
      <c r="O16" s="461" t="s">
        <v>987</v>
      </c>
      <c r="P16" s="461" t="s">
        <v>1026</v>
      </c>
      <c r="Q16" s="461" t="s">
        <v>1027</v>
      </c>
      <c r="R16" s="461" t="s">
        <v>988</v>
      </c>
      <c r="S16" s="461" t="s">
        <v>989</v>
      </c>
      <c r="T16" s="461" t="s">
        <v>1003</v>
      </c>
      <c r="U16" s="461" t="s">
        <v>990</v>
      </c>
      <c r="V16" s="461" t="s">
        <v>991</v>
      </c>
      <c r="W16" s="461" t="s">
        <v>992</v>
      </c>
    </row>
    <row r="17" spans="2:23" ht="14.4" x14ac:dyDescent="0.3">
      <c r="B17" s="425">
        <v>1</v>
      </c>
      <c r="C17" s="95" t="s">
        <v>174</v>
      </c>
      <c r="D17" s="474">
        <v>300.86</v>
      </c>
      <c r="E17" s="588">
        <v>0</v>
      </c>
      <c r="F17" s="586">
        <v>0</v>
      </c>
      <c r="G17" s="586">
        <v>0</v>
      </c>
      <c r="H17" s="586">
        <v>0</v>
      </c>
      <c r="I17" s="586">
        <v>0</v>
      </c>
      <c r="J17" s="587">
        <v>0</v>
      </c>
      <c r="K17" s="587">
        <v>313</v>
      </c>
      <c r="L17" s="91"/>
      <c r="M17" s="91"/>
      <c r="N17" s="91"/>
      <c r="O17" s="91"/>
      <c r="P17" s="91"/>
      <c r="Q17" s="91"/>
      <c r="R17" s="91"/>
      <c r="S17" s="91"/>
      <c r="T17" s="91"/>
      <c r="U17" s="91"/>
      <c r="V17" s="91"/>
      <c r="W17" s="91"/>
    </row>
    <row r="18" spans="2:23" ht="14.4" x14ac:dyDescent="0.3">
      <c r="B18" s="425">
        <f>1+B17</f>
        <v>2</v>
      </c>
      <c r="C18" s="95" t="s">
        <v>184</v>
      </c>
      <c r="D18" s="474">
        <v>775</v>
      </c>
      <c r="E18" s="588">
        <v>0</v>
      </c>
      <c r="F18" s="586">
        <v>0</v>
      </c>
      <c r="G18" s="586">
        <v>0</v>
      </c>
      <c r="H18" s="586">
        <v>0</v>
      </c>
      <c r="I18" s="586">
        <v>0</v>
      </c>
      <c r="J18" s="586">
        <v>737</v>
      </c>
      <c r="K18" s="586">
        <v>0</v>
      </c>
      <c r="L18" s="91"/>
      <c r="M18" s="91"/>
      <c r="N18" s="91"/>
      <c r="O18" s="91"/>
      <c r="P18" s="91"/>
      <c r="Q18" s="91"/>
      <c r="R18" s="91"/>
      <c r="S18" s="91"/>
      <c r="T18" s="91"/>
      <c r="U18" s="91"/>
      <c r="V18" s="91"/>
      <c r="W18" s="91"/>
    </row>
    <row r="19" spans="2:23" ht="14.4" x14ac:dyDescent="0.3">
      <c r="B19" s="425">
        <f t="shared" ref="B19:B55" si="0">1+B18</f>
        <v>3</v>
      </c>
      <c r="C19" s="95" t="s">
        <v>177</v>
      </c>
      <c r="D19" s="474">
        <v>343.97</v>
      </c>
      <c r="E19" s="588">
        <v>0</v>
      </c>
      <c r="F19" s="586">
        <v>0</v>
      </c>
      <c r="G19" s="586">
        <v>0</v>
      </c>
      <c r="H19" s="586">
        <v>0</v>
      </c>
      <c r="I19" s="586">
        <v>0</v>
      </c>
      <c r="J19" s="586">
        <v>0</v>
      </c>
      <c r="K19" s="586">
        <v>390</v>
      </c>
      <c r="L19" s="91"/>
      <c r="M19" s="91"/>
      <c r="N19" s="91"/>
      <c r="O19" s="91"/>
      <c r="P19" s="91"/>
      <c r="Q19" s="91"/>
      <c r="R19" s="91"/>
      <c r="S19" s="91"/>
      <c r="T19" s="91"/>
      <c r="U19" s="91"/>
      <c r="V19" s="91"/>
      <c r="W19" s="91"/>
    </row>
    <row r="20" spans="2:23" ht="14.4" x14ac:dyDescent="0.3">
      <c r="B20" s="425">
        <f t="shared" si="0"/>
        <v>4</v>
      </c>
      <c r="C20" s="95" t="s">
        <v>180</v>
      </c>
      <c r="D20" s="474">
        <v>387.07</v>
      </c>
      <c r="E20" s="588">
        <v>0</v>
      </c>
      <c r="F20" s="586">
        <v>0</v>
      </c>
      <c r="G20" s="586">
        <v>0</v>
      </c>
      <c r="H20" s="586">
        <v>0</v>
      </c>
      <c r="I20" s="586">
        <v>0</v>
      </c>
      <c r="J20" s="586">
        <v>0</v>
      </c>
      <c r="K20" s="586">
        <v>335</v>
      </c>
      <c r="L20" s="91"/>
      <c r="M20" s="91"/>
      <c r="N20" s="91"/>
      <c r="O20" s="91"/>
      <c r="P20" s="91"/>
      <c r="Q20" s="91"/>
      <c r="R20" s="91"/>
      <c r="S20" s="91"/>
      <c r="T20" s="91"/>
      <c r="U20" s="91"/>
      <c r="V20" s="91"/>
      <c r="W20" s="91"/>
    </row>
    <row r="21" spans="2:23" ht="14.4" x14ac:dyDescent="0.3">
      <c r="B21" s="425">
        <f t="shared" si="0"/>
        <v>5</v>
      </c>
      <c r="C21" s="95" t="s">
        <v>182</v>
      </c>
      <c r="D21" s="474">
        <v>473.28</v>
      </c>
      <c r="E21" s="588">
        <v>0</v>
      </c>
      <c r="F21" s="586">
        <v>0</v>
      </c>
      <c r="G21" s="586">
        <v>0</v>
      </c>
      <c r="H21" s="586">
        <v>0</v>
      </c>
      <c r="I21" s="586">
        <v>0</v>
      </c>
      <c r="J21" s="586">
        <v>0</v>
      </c>
      <c r="K21" s="586">
        <v>422</v>
      </c>
      <c r="L21" s="91"/>
      <c r="M21" s="91"/>
      <c r="N21" s="91"/>
      <c r="O21" s="91"/>
      <c r="P21" s="91"/>
      <c r="Q21" s="91"/>
      <c r="R21" s="91"/>
      <c r="S21" s="91"/>
      <c r="T21" s="91"/>
      <c r="U21" s="91"/>
      <c r="V21" s="91"/>
      <c r="W21" s="91"/>
    </row>
    <row r="22" spans="2:23" ht="14.4" x14ac:dyDescent="0.3">
      <c r="B22" s="425">
        <f t="shared" si="0"/>
        <v>6</v>
      </c>
      <c r="C22" s="95" t="s">
        <v>167</v>
      </c>
      <c r="D22" s="474">
        <v>240.52</v>
      </c>
      <c r="E22" s="588">
        <v>0</v>
      </c>
      <c r="F22" s="586">
        <v>0</v>
      </c>
      <c r="G22" s="586">
        <v>0</v>
      </c>
      <c r="H22" s="586">
        <v>0</v>
      </c>
      <c r="I22" s="586">
        <v>0</v>
      </c>
      <c r="J22" s="586">
        <v>278</v>
      </c>
      <c r="K22" s="586">
        <v>0</v>
      </c>
      <c r="L22" s="91"/>
      <c r="M22" s="91"/>
      <c r="N22" s="91"/>
      <c r="O22" s="91"/>
      <c r="P22" s="91"/>
      <c r="Q22" s="91"/>
      <c r="R22" s="91"/>
      <c r="S22" s="91"/>
      <c r="T22" s="91"/>
      <c r="U22" s="91"/>
      <c r="V22" s="91"/>
      <c r="W22" s="91"/>
    </row>
    <row r="23" spans="2:23" ht="14.4" x14ac:dyDescent="0.3">
      <c r="B23" s="425">
        <f t="shared" si="0"/>
        <v>7</v>
      </c>
      <c r="C23" s="513" t="s">
        <v>170</v>
      </c>
      <c r="D23" s="474">
        <v>257.76</v>
      </c>
      <c r="E23" s="588">
        <v>0</v>
      </c>
      <c r="F23" s="586">
        <v>0</v>
      </c>
      <c r="G23" s="586">
        <v>0</v>
      </c>
      <c r="H23" s="586">
        <v>0</v>
      </c>
      <c r="I23" s="586">
        <v>0</v>
      </c>
      <c r="J23" s="586">
        <v>316</v>
      </c>
      <c r="K23" s="586">
        <v>0</v>
      </c>
      <c r="L23" s="91"/>
      <c r="M23" s="91"/>
      <c r="N23" s="91"/>
      <c r="O23" s="91"/>
      <c r="P23" s="91"/>
      <c r="Q23" s="91"/>
      <c r="R23" s="91"/>
      <c r="S23" s="91"/>
      <c r="T23" s="91"/>
      <c r="U23" s="91"/>
      <c r="V23" s="91"/>
      <c r="W23" s="91"/>
    </row>
    <row r="24" spans="2:23" ht="14.4" x14ac:dyDescent="0.3">
      <c r="B24" s="425">
        <f t="shared" si="0"/>
        <v>8</v>
      </c>
      <c r="C24" s="513" t="s">
        <v>187</v>
      </c>
      <c r="D24" s="474">
        <v>257.76</v>
      </c>
      <c r="E24" s="588">
        <v>0</v>
      </c>
      <c r="F24" s="586">
        <v>0</v>
      </c>
      <c r="G24" s="586">
        <v>0</v>
      </c>
      <c r="H24" s="586">
        <v>0</v>
      </c>
      <c r="I24" s="586">
        <v>0</v>
      </c>
      <c r="J24" s="586">
        <v>272</v>
      </c>
      <c r="K24" s="586">
        <v>0</v>
      </c>
      <c r="L24" s="91"/>
      <c r="M24" s="91"/>
      <c r="N24" s="91"/>
      <c r="O24" s="91"/>
      <c r="P24" s="91"/>
      <c r="Q24" s="91"/>
      <c r="R24" s="91"/>
      <c r="S24" s="91"/>
      <c r="T24" s="91"/>
      <c r="U24" s="91"/>
      <c r="V24" s="91"/>
      <c r="W24" s="91"/>
    </row>
    <row r="25" spans="2:23" ht="14.4" x14ac:dyDescent="0.3">
      <c r="B25" s="425">
        <f t="shared" si="0"/>
        <v>9</v>
      </c>
      <c r="C25" s="95" t="s">
        <v>189</v>
      </c>
      <c r="D25" s="474">
        <v>300.86</v>
      </c>
      <c r="E25" s="588">
        <v>0</v>
      </c>
      <c r="F25" s="586">
        <v>0</v>
      </c>
      <c r="G25" s="586">
        <v>0</v>
      </c>
      <c r="H25" s="586">
        <v>0</v>
      </c>
      <c r="I25" s="586">
        <v>0</v>
      </c>
      <c r="J25" s="586">
        <v>0</v>
      </c>
      <c r="K25" s="586">
        <v>301</v>
      </c>
      <c r="L25" s="91"/>
      <c r="M25" s="91"/>
      <c r="N25" s="91"/>
      <c r="O25" s="91"/>
      <c r="P25" s="91"/>
      <c r="Q25" s="91"/>
      <c r="R25" s="91"/>
      <c r="S25" s="91"/>
      <c r="T25" s="91"/>
      <c r="U25" s="91"/>
      <c r="V25" s="91"/>
      <c r="W25" s="91"/>
    </row>
    <row r="26" spans="2:23" ht="14.4" outlineLevel="1" x14ac:dyDescent="0.3">
      <c r="B26" s="425">
        <f t="shared" si="0"/>
        <v>10</v>
      </c>
      <c r="C26" s="95" t="s">
        <v>191</v>
      </c>
      <c r="D26" s="474">
        <v>343.97</v>
      </c>
      <c r="E26" s="588">
        <v>0</v>
      </c>
      <c r="F26" s="586">
        <v>0</v>
      </c>
      <c r="G26" s="586">
        <v>0</v>
      </c>
      <c r="H26" s="586">
        <v>0</v>
      </c>
      <c r="I26" s="586">
        <v>0</v>
      </c>
      <c r="J26" s="586">
        <v>0</v>
      </c>
      <c r="K26" s="586">
        <v>306</v>
      </c>
      <c r="L26" s="91"/>
      <c r="M26" s="91"/>
      <c r="N26" s="91"/>
      <c r="O26" s="91"/>
      <c r="P26" s="91"/>
      <c r="Q26" s="91"/>
      <c r="R26" s="91"/>
      <c r="S26" s="91"/>
      <c r="T26" s="91"/>
      <c r="U26" s="91"/>
      <c r="V26" s="91"/>
      <c r="W26" s="91"/>
    </row>
    <row r="27" spans="2:23" ht="14.4" outlineLevel="1" x14ac:dyDescent="0.3">
      <c r="B27" s="425">
        <f t="shared" si="0"/>
        <v>11</v>
      </c>
      <c r="C27" s="95" t="s">
        <v>192</v>
      </c>
      <c r="D27" s="474">
        <v>387.07</v>
      </c>
      <c r="E27" s="588">
        <v>0</v>
      </c>
      <c r="F27" s="586">
        <v>0</v>
      </c>
      <c r="G27" s="586">
        <v>0</v>
      </c>
      <c r="H27" s="586">
        <v>0</v>
      </c>
      <c r="I27" s="586">
        <v>0</v>
      </c>
      <c r="J27" s="586">
        <v>0</v>
      </c>
      <c r="K27" s="586">
        <v>419</v>
      </c>
      <c r="L27" s="91"/>
      <c r="M27" s="91"/>
      <c r="N27" s="91"/>
      <c r="O27" s="91"/>
      <c r="P27" s="91"/>
      <c r="Q27" s="91"/>
      <c r="R27" s="91"/>
      <c r="S27" s="91"/>
      <c r="T27" s="91"/>
      <c r="U27" s="91"/>
      <c r="V27" s="91"/>
      <c r="W27" s="91"/>
    </row>
    <row r="28" spans="2:23" ht="14.4" outlineLevel="1" x14ac:dyDescent="0.3">
      <c r="B28" s="425">
        <f t="shared" si="0"/>
        <v>12</v>
      </c>
      <c r="C28" s="95" t="s">
        <v>193</v>
      </c>
      <c r="D28" s="474">
        <v>473.28</v>
      </c>
      <c r="E28" s="588">
        <v>0</v>
      </c>
      <c r="F28" s="586">
        <v>0</v>
      </c>
      <c r="G28" s="586">
        <v>0</v>
      </c>
      <c r="H28" s="586">
        <v>0</v>
      </c>
      <c r="I28" s="586">
        <v>0</v>
      </c>
      <c r="J28" s="586">
        <v>0</v>
      </c>
      <c r="K28" s="586">
        <v>395</v>
      </c>
      <c r="L28" s="91"/>
      <c r="M28" s="91"/>
      <c r="N28" s="91"/>
      <c r="O28" s="91"/>
      <c r="P28" s="91"/>
      <c r="Q28" s="91"/>
      <c r="R28" s="91"/>
      <c r="S28" s="91"/>
      <c r="T28" s="91"/>
      <c r="U28" s="91"/>
      <c r="V28" s="91"/>
      <c r="W28" s="91"/>
    </row>
    <row r="29" spans="2:23" ht="14.4" outlineLevel="1" x14ac:dyDescent="0.3">
      <c r="B29" s="425">
        <f t="shared" si="0"/>
        <v>13</v>
      </c>
      <c r="C29" s="95" t="s">
        <v>195</v>
      </c>
      <c r="D29" s="474">
        <v>775</v>
      </c>
      <c r="E29" s="588">
        <v>0</v>
      </c>
      <c r="F29" s="586">
        <v>0</v>
      </c>
      <c r="G29" s="586">
        <v>0</v>
      </c>
      <c r="H29" s="586">
        <v>0</v>
      </c>
      <c r="I29" s="586">
        <v>0</v>
      </c>
      <c r="J29" s="586">
        <v>721</v>
      </c>
      <c r="K29" s="586">
        <v>0</v>
      </c>
      <c r="L29" s="91"/>
      <c r="M29" s="91"/>
      <c r="N29" s="91"/>
      <c r="O29" s="91"/>
      <c r="P29" s="91"/>
      <c r="Q29" s="91"/>
      <c r="R29" s="91"/>
      <c r="S29" s="91"/>
      <c r="T29" s="91"/>
      <c r="U29" s="91"/>
      <c r="V29" s="91"/>
      <c r="W29" s="91"/>
    </row>
    <row r="30" spans="2:23" ht="14.4" outlineLevel="1" x14ac:dyDescent="0.3">
      <c r="B30" s="425">
        <f t="shared" si="0"/>
        <v>14</v>
      </c>
      <c r="C30" s="95" t="s">
        <v>166</v>
      </c>
      <c r="D30" s="474">
        <v>210.24</v>
      </c>
      <c r="E30" s="588">
        <v>135</v>
      </c>
      <c r="F30" s="586">
        <v>0</v>
      </c>
      <c r="G30" s="586">
        <v>0</v>
      </c>
      <c r="H30" s="586">
        <v>0</v>
      </c>
      <c r="I30" s="586">
        <v>0</v>
      </c>
      <c r="J30" s="586">
        <v>62</v>
      </c>
      <c r="K30" s="586">
        <v>0</v>
      </c>
      <c r="L30" s="91"/>
      <c r="M30" s="91"/>
      <c r="N30" s="91"/>
      <c r="O30" s="91"/>
      <c r="P30" s="91"/>
      <c r="Q30" s="91"/>
      <c r="R30" s="91"/>
      <c r="S30" s="91"/>
      <c r="T30" s="91"/>
      <c r="U30" s="91"/>
      <c r="V30" s="91"/>
      <c r="W30" s="91"/>
    </row>
    <row r="31" spans="2:23" ht="14.4" outlineLevel="1" x14ac:dyDescent="0.3">
      <c r="B31" s="425">
        <f t="shared" si="0"/>
        <v>15</v>
      </c>
      <c r="C31" s="95" t="s">
        <v>169</v>
      </c>
      <c r="D31" s="474">
        <v>244.01</v>
      </c>
      <c r="E31" s="588">
        <v>201</v>
      </c>
      <c r="F31" s="586">
        <v>4</v>
      </c>
      <c r="G31" s="586">
        <v>0</v>
      </c>
      <c r="H31" s="586">
        <v>0</v>
      </c>
      <c r="I31" s="586">
        <v>0</v>
      </c>
      <c r="J31" s="586">
        <v>98</v>
      </c>
      <c r="K31" s="586">
        <v>0</v>
      </c>
      <c r="L31" s="91"/>
      <c r="M31" s="91"/>
      <c r="N31" s="91"/>
      <c r="O31" s="91"/>
      <c r="P31" s="91"/>
      <c r="Q31" s="91"/>
      <c r="R31" s="91"/>
      <c r="S31" s="91"/>
      <c r="T31" s="91"/>
      <c r="U31" s="91"/>
      <c r="V31" s="91"/>
      <c r="W31" s="91"/>
    </row>
    <row r="32" spans="2:23" ht="14.4" outlineLevel="1" x14ac:dyDescent="0.3">
      <c r="B32" s="425">
        <f t="shared" si="0"/>
        <v>16</v>
      </c>
      <c r="C32" s="95" t="s">
        <v>179</v>
      </c>
      <c r="D32" s="474">
        <v>367.29</v>
      </c>
      <c r="E32" s="588">
        <v>167</v>
      </c>
      <c r="F32" s="586">
        <v>17</v>
      </c>
      <c r="G32" s="586">
        <v>4</v>
      </c>
      <c r="H32" s="586">
        <v>1</v>
      </c>
      <c r="I32" s="586">
        <v>14</v>
      </c>
      <c r="J32" s="586">
        <v>0</v>
      </c>
      <c r="K32" s="586">
        <v>157</v>
      </c>
      <c r="L32" s="91"/>
      <c r="M32" s="91"/>
      <c r="N32" s="91"/>
      <c r="O32" s="91"/>
      <c r="P32" s="91"/>
      <c r="Q32" s="91"/>
      <c r="R32" s="91"/>
      <c r="S32" s="91"/>
      <c r="T32" s="91"/>
      <c r="U32" s="91"/>
      <c r="V32" s="91"/>
      <c r="W32" s="91"/>
    </row>
    <row r="33" spans="2:23" ht="14.4" outlineLevel="1" x14ac:dyDescent="0.3">
      <c r="B33" s="425">
        <f t="shared" si="0"/>
        <v>17</v>
      </c>
      <c r="C33" s="95" t="s">
        <v>181</v>
      </c>
      <c r="D33" s="474">
        <v>421.32</v>
      </c>
      <c r="E33" s="588">
        <v>175</v>
      </c>
      <c r="F33" s="586">
        <v>13</v>
      </c>
      <c r="G33" s="586">
        <v>3</v>
      </c>
      <c r="H33" s="586">
        <v>1</v>
      </c>
      <c r="I33" s="586">
        <v>20</v>
      </c>
      <c r="J33" s="586">
        <v>0</v>
      </c>
      <c r="K33" s="586">
        <v>242</v>
      </c>
      <c r="L33" s="91"/>
      <c r="M33" s="91"/>
      <c r="N33" s="91"/>
      <c r="O33" s="91"/>
      <c r="P33" s="91"/>
      <c r="Q33" s="91"/>
      <c r="R33" s="91"/>
      <c r="S33" s="91"/>
      <c r="T33" s="91"/>
      <c r="U33" s="91"/>
      <c r="V33" s="91"/>
      <c r="W33" s="91"/>
    </row>
    <row r="34" spans="2:23" ht="14.4" outlineLevel="1" x14ac:dyDescent="0.3">
      <c r="B34" s="425">
        <f t="shared" si="0"/>
        <v>18</v>
      </c>
      <c r="C34" s="95" t="s">
        <v>183</v>
      </c>
      <c r="D34" s="474">
        <v>505.76</v>
      </c>
      <c r="E34" s="588">
        <v>174</v>
      </c>
      <c r="F34" s="586">
        <v>24</v>
      </c>
      <c r="G34" s="586">
        <v>8</v>
      </c>
      <c r="H34" s="586">
        <v>3</v>
      </c>
      <c r="I34" s="586">
        <v>16</v>
      </c>
      <c r="J34" s="586">
        <v>0</v>
      </c>
      <c r="K34" s="586">
        <v>345</v>
      </c>
      <c r="L34" s="91"/>
      <c r="M34" s="91"/>
      <c r="N34" s="91"/>
      <c r="O34" s="91"/>
      <c r="P34" s="91"/>
      <c r="Q34" s="91"/>
      <c r="R34" s="91"/>
      <c r="S34" s="91"/>
      <c r="T34" s="91"/>
      <c r="U34" s="91"/>
      <c r="V34" s="91"/>
      <c r="W34" s="91"/>
    </row>
    <row r="35" spans="2:23" ht="14.4" outlineLevel="1" x14ac:dyDescent="0.3">
      <c r="B35" s="425">
        <f t="shared" si="0"/>
        <v>19</v>
      </c>
      <c r="C35" s="95" t="s">
        <v>186</v>
      </c>
      <c r="D35" s="474">
        <v>547.98</v>
      </c>
      <c r="E35" s="588">
        <v>158</v>
      </c>
      <c r="F35" s="586">
        <v>14</v>
      </c>
      <c r="G35" s="586">
        <v>7</v>
      </c>
      <c r="H35" s="586">
        <v>2</v>
      </c>
      <c r="I35" s="586">
        <v>19</v>
      </c>
      <c r="J35" s="586">
        <v>0</v>
      </c>
      <c r="K35" s="586">
        <v>388</v>
      </c>
      <c r="L35" s="91"/>
      <c r="M35" s="91"/>
      <c r="N35" s="91"/>
      <c r="O35" s="91"/>
      <c r="P35" s="91"/>
      <c r="Q35" s="91"/>
      <c r="R35" s="91"/>
      <c r="S35" s="91"/>
      <c r="T35" s="91"/>
      <c r="U35" s="91"/>
      <c r="V35" s="91"/>
      <c r="W35" s="91"/>
    </row>
    <row r="36" spans="2:23" ht="14.4" outlineLevel="1" x14ac:dyDescent="0.3">
      <c r="B36" s="425">
        <f t="shared" si="0"/>
        <v>20</v>
      </c>
      <c r="C36" s="95" t="s">
        <v>176</v>
      </c>
      <c r="D36" s="474">
        <v>328.44</v>
      </c>
      <c r="E36" s="588">
        <v>153</v>
      </c>
      <c r="F36" s="586">
        <v>18</v>
      </c>
      <c r="G36" s="586">
        <v>3</v>
      </c>
      <c r="H36" s="586">
        <v>1</v>
      </c>
      <c r="I36" s="586">
        <v>13</v>
      </c>
      <c r="J36" s="586">
        <v>0</v>
      </c>
      <c r="K36" s="586">
        <v>108</v>
      </c>
      <c r="L36" s="91"/>
      <c r="M36" s="91"/>
      <c r="N36" s="91"/>
      <c r="O36" s="91"/>
      <c r="P36" s="91"/>
      <c r="Q36" s="91"/>
      <c r="R36" s="91"/>
      <c r="S36" s="91"/>
      <c r="T36" s="91"/>
      <c r="U36" s="91"/>
      <c r="V36" s="91"/>
      <c r="W36" s="91"/>
    </row>
    <row r="37" spans="2:23" ht="14.4" outlineLevel="1" x14ac:dyDescent="0.3">
      <c r="B37" s="425">
        <f t="shared" si="0"/>
        <v>21</v>
      </c>
      <c r="C37" s="95" t="s">
        <v>194</v>
      </c>
      <c r="D37" s="474">
        <v>336.9</v>
      </c>
      <c r="E37" s="588">
        <v>167</v>
      </c>
      <c r="F37" s="586">
        <v>21</v>
      </c>
      <c r="G37" s="586">
        <v>1</v>
      </c>
      <c r="H37" s="586">
        <v>1</v>
      </c>
      <c r="I37" s="586">
        <v>12</v>
      </c>
      <c r="J37" s="586">
        <v>0</v>
      </c>
      <c r="K37" s="586">
        <v>98</v>
      </c>
      <c r="L37" s="91"/>
      <c r="M37" s="91"/>
      <c r="N37" s="91"/>
      <c r="O37" s="91"/>
      <c r="P37" s="91"/>
      <c r="Q37" s="91"/>
      <c r="R37" s="91"/>
      <c r="S37" s="91"/>
      <c r="T37" s="91"/>
      <c r="U37" s="91"/>
      <c r="V37" s="91"/>
      <c r="W37" s="91"/>
    </row>
    <row r="38" spans="2:23" ht="14.4" outlineLevel="1" x14ac:dyDescent="0.3">
      <c r="B38" s="425">
        <f t="shared" si="0"/>
        <v>22</v>
      </c>
      <c r="C38" s="95" t="s">
        <v>190</v>
      </c>
      <c r="D38" s="474">
        <v>1181.23</v>
      </c>
      <c r="E38" s="588">
        <v>192</v>
      </c>
      <c r="F38" s="586">
        <v>6</v>
      </c>
      <c r="G38" s="586">
        <v>3</v>
      </c>
      <c r="H38" s="586">
        <v>2</v>
      </c>
      <c r="I38" s="586">
        <v>7</v>
      </c>
      <c r="J38" s="586">
        <v>876</v>
      </c>
      <c r="K38" s="586">
        <v>0</v>
      </c>
      <c r="L38" s="91"/>
      <c r="M38" s="91"/>
      <c r="N38" s="91"/>
      <c r="O38" s="91"/>
      <c r="P38" s="91"/>
      <c r="Q38" s="91"/>
      <c r="R38" s="91"/>
      <c r="S38" s="91"/>
      <c r="T38" s="91"/>
      <c r="U38" s="91"/>
      <c r="V38" s="91"/>
      <c r="W38" s="91"/>
    </row>
    <row r="39" spans="2:23" ht="14.4" outlineLevel="1" x14ac:dyDescent="0.3">
      <c r="B39" s="425">
        <f t="shared" si="0"/>
        <v>23</v>
      </c>
      <c r="C39" s="95" t="s">
        <v>173</v>
      </c>
      <c r="D39" s="474">
        <v>281.16000000000003</v>
      </c>
      <c r="E39" s="588">
        <v>167</v>
      </c>
      <c r="F39" s="586">
        <v>7</v>
      </c>
      <c r="G39" s="586">
        <v>0</v>
      </c>
      <c r="H39" s="586">
        <v>0</v>
      </c>
      <c r="I39" s="586">
        <v>0</v>
      </c>
      <c r="J39" s="586">
        <v>123</v>
      </c>
      <c r="K39" s="586">
        <v>0</v>
      </c>
      <c r="L39" s="91"/>
      <c r="M39" s="91"/>
      <c r="N39" s="91"/>
      <c r="O39" s="91"/>
      <c r="P39" s="91"/>
      <c r="Q39" s="91"/>
      <c r="R39" s="91"/>
      <c r="S39" s="91"/>
      <c r="T39" s="91"/>
      <c r="U39" s="91"/>
      <c r="V39" s="91"/>
      <c r="W39" s="91"/>
    </row>
    <row r="40" spans="2:23" ht="14.4" outlineLevel="1" x14ac:dyDescent="0.3">
      <c r="B40" s="425">
        <f t="shared" si="0"/>
        <v>24</v>
      </c>
      <c r="C40" s="95" t="s">
        <v>196</v>
      </c>
      <c r="D40" s="474">
        <v>463.55</v>
      </c>
      <c r="E40" s="588">
        <v>142</v>
      </c>
      <c r="F40" s="586">
        <v>22</v>
      </c>
      <c r="G40" s="586">
        <v>1</v>
      </c>
      <c r="H40" s="586">
        <v>1</v>
      </c>
      <c r="I40" s="586">
        <v>12</v>
      </c>
      <c r="J40" s="586">
        <v>0</v>
      </c>
      <c r="K40" s="586">
        <v>174</v>
      </c>
      <c r="L40" s="91"/>
      <c r="M40" s="91"/>
      <c r="N40" s="91"/>
      <c r="O40" s="91"/>
      <c r="P40" s="91"/>
      <c r="Q40" s="91"/>
      <c r="R40" s="91"/>
      <c r="S40" s="91"/>
      <c r="T40" s="91"/>
      <c r="U40" s="91"/>
      <c r="V40" s="91"/>
      <c r="W40" s="91"/>
    </row>
    <row r="41" spans="2:23" ht="14.4" outlineLevel="1" x14ac:dyDescent="0.3">
      <c r="B41" s="425">
        <f t="shared" si="0"/>
        <v>25</v>
      </c>
      <c r="C41" s="95" t="s">
        <v>510</v>
      </c>
      <c r="D41" s="474">
        <v>674.64</v>
      </c>
      <c r="E41" s="588">
        <v>139</v>
      </c>
      <c r="F41" s="586">
        <v>32</v>
      </c>
      <c r="G41" s="586">
        <v>1</v>
      </c>
      <c r="H41" s="586">
        <v>1</v>
      </c>
      <c r="I41" s="586">
        <v>10</v>
      </c>
      <c r="J41" s="586">
        <v>0</v>
      </c>
      <c r="K41" s="586">
        <v>369</v>
      </c>
      <c r="L41" s="91"/>
      <c r="M41" s="91"/>
      <c r="N41" s="91"/>
      <c r="O41" s="91"/>
      <c r="P41" s="91"/>
      <c r="Q41" s="91"/>
      <c r="R41" s="91"/>
      <c r="S41" s="91"/>
      <c r="T41" s="91"/>
      <c r="U41" s="91"/>
      <c r="V41" s="91"/>
      <c r="W41" s="91"/>
    </row>
    <row r="42" spans="2:23" ht="14.4" outlineLevel="1" x14ac:dyDescent="0.3">
      <c r="B42" s="425">
        <f t="shared" si="0"/>
        <v>26</v>
      </c>
      <c r="C42" s="95" t="s">
        <v>203</v>
      </c>
      <c r="D42" s="474">
        <v>1265.6600000000001</v>
      </c>
      <c r="E42" s="588">
        <v>246</v>
      </c>
      <c r="F42" s="586">
        <v>39</v>
      </c>
      <c r="G42" s="586">
        <v>1</v>
      </c>
      <c r="H42" s="586">
        <v>1</v>
      </c>
      <c r="I42" s="586">
        <v>12</v>
      </c>
      <c r="J42" s="586">
        <v>1018</v>
      </c>
      <c r="K42" s="586">
        <v>0</v>
      </c>
      <c r="L42" s="91"/>
      <c r="M42" s="91"/>
      <c r="N42" s="91"/>
      <c r="O42" s="91"/>
      <c r="P42" s="91"/>
      <c r="Q42" s="91"/>
      <c r="R42" s="91"/>
      <c r="S42" s="91"/>
      <c r="T42" s="91"/>
      <c r="U42" s="91"/>
      <c r="V42" s="91"/>
      <c r="W42" s="91"/>
    </row>
    <row r="43" spans="2:23" ht="14.4" outlineLevel="1" x14ac:dyDescent="0.3">
      <c r="B43" s="425">
        <f t="shared" si="0"/>
        <v>27</v>
      </c>
      <c r="C43" s="95" t="s">
        <v>204</v>
      </c>
      <c r="D43" s="474">
        <v>1510.52</v>
      </c>
      <c r="E43" s="588">
        <v>154</v>
      </c>
      <c r="F43" s="586">
        <v>43</v>
      </c>
      <c r="G43" s="586">
        <v>1</v>
      </c>
      <c r="H43" s="586">
        <v>1</v>
      </c>
      <c r="I43" s="586">
        <v>15</v>
      </c>
      <c r="J43" s="586">
        <v>1242</v>
      </c>
      <c r="K43" s="586">
        <v>0</v>
      </c>
      <c r="L43" s="91"/>
      <c r="M43" s="91"/>
      <c r="N43" s="91"/>
      <c r="O43" s="91"/>
      <c r="P43" s="91"/>
      <c r="Q43" s="91"/>
      <c r="R43" s="91"/>
      <c r="S43" s="91"/>
      <c r="T43" s="91"/>
      <c r="U43" s="91"/>
      <c r="V43" s="91"/>
      <c r="W43" s="91"/>
    </row>
    <row r="44" spans="2:23" ht="14.4" outlineLevel="1" x14ac:dyDescent="0.3">
      <c r="B44" s="425">
        <f t="shared" si="0"/>
        <v>28</v>
      </c>
      <c r="C44" s="95" t="s">
        <v>205</v>
      </c>
      <c r="D44" s="474">
        <v>1932.69</v>
      </c>
      <c r="E44" s="588">
        <v>229</v>
      </c>
      <c r="F44" s="586">
        <v>31</v>
      </c>
      <c r="G44" s="586">
        <v>2</v>
      </c>
      <c r="H44" s="586">
        <v>2</v>
      </c>
      <c r="I44" s="586">
        <v>10</v>
      </c>
      <c r="J44" s="586">
        <v>2069</v>
      </c>
      <c r="K44" s="586">
        <v>0</v>
      </c>
      <c r="L44" s="91"/>
      <c r="M44" s="91"/>
      <c r="N44" s="91"/>
      <c r="O44" s="91"/>
      <c r="P44" s="91"/>
      <c r="Q44" s="91"/>
      <c r="R44" s="91"/>
      <c r="S44" s="91"/>
      <c r="T44" s="91"/>
      <c r="U44" s="91"/>
      <c r="V44" s="91"/>
      <c r="W44" s="91"/>
    </row>
    <row r="45" spans="2:23" ht="14.4" outlineLevel="1" x14ac:dyDescent="0.3">
      <c r="B45" s="425">
        <f t="shared" si="0"/>
        <v>29</v>
      </c>
      <c r="C45" s="95" t="s">
        <v>197</v>
      </c>
      <c r="D45" s="474">
        <v>349</v>
      </c>
      <c r="E45" s="588">
        <v>0</v>
      </c>
      <c r="F45" s="586">
        <v>0</v>
      </c>
      <c r="G45" s="586">
        <v>0</v>
      </c>
      <c r="H45" s="586">
        <v>0</v>
      </c>
      <c r="I45" s="586">
        <v>0</v>
      </c>
      <c r="J45" s="586">
        <v>371</v>
      </c>
      <c r="K45" s="586">
        <v>0</v>
      </c>
      <c r="L45" s="91"/>
      <c r="M45" s="91"/>
      <c r="N45" s="91"/>
      <c r="O45" s="91"/>
      <c r="P45" s="91"/>
      <c r="Q45" s="91"/>
      <c r="R45" s="91"/>
      <c r="S45" s="91"/>
      <c r="T45" s="91"/>
      <c r="U45" s="91"/>
      <c r="V45" s="91"/>
      <c r="W45" s="91"/>
    </row>
    <row r="46" spans="2:23" ht="14.4" outlineLevel="1" x14ac:dyDescent="0.3">
      <c r="B46" s="425">
        <f t="shared" si="0"/>
        <v>30</v>
      </c>
      <c r="C46" s="95" t="s">
        <v>199</v>
      </c>
      <c r="D46" s="474">
        <v>608.69000000000005</v>
      </c>
      <c r="E46" s="588">
        <v>0</v>
      </c>
      <c r="F46" s="586">
        <v>0</v>
      </c>
      <c r="G46" s="586">
        <v>0</v>
      </c>
      <c r="H46" s="586">
        <v>0</v>
      </c>
      <c r="I46" s="586">
        <v>0</v>
      </c>
      <c r="J46" s="586">
        <v>754</v>
      </c>
      <c r="K46" s="586">
        <v>0</v>
      </c>
      <c r="L46" s="91"/>
      <c r="M46" s="91"/>
      <c r="N46" s="91"/>
      <c r="O46" s="91"/>
      <c r="P46" s="91"/>
      <c r="Q46" s="91"/>
      <c r="R46" s="91"/>
      <c r="S46" s="91"/>
      <c r="T46" s="91"/>
      <c r="U46" s="91"/>
      <c r="V46" s="91"/>
      <c r="W46" s="91"/>
    </row>
    <row r="47" spans="2:23" ht="14.4" outlineLevel="1" x14ac:dyDescent="0.3">
      <c r="B47" s="425">
        <f t="shared" si="0"/>
        <v>31</v>
      </c>
      <c r="C47" s="95" t="s">
        <v>201</v>
      </c>
      <c r="D47" s="474">
        <v>1042.5999999999999</v>
      </c>
      <c r="E47" s="588">
        <v>0</v>
      </c>
      <c r="F47" s="586">
        <v>0</v>
      </c>
      <c r="G47" s="586">
        <v>0</v>
      </c>
      <c r="H47" s="586">
        <v>0</v>
      </c>
      <c r="I47" s="586">
        <v>0</v>
      </c>
      <c r="J47" s="586">
        <v>1355</v>
      </c>
      <c r="K47" s="586">
        <v>0</v>
      </c>
      <c r="L47" s="91"/>
      <c r="M47" s="91"/>
      <c r="N47" s="91"/>
      <c r="O47" s="91"/>
      <c r="P47" s="91"/>
      <c r="Q47" s="91"/>
      <c r="R47" s="91"/>
      <c r="S47" s="91"/>
      <c r="T47" s="91"/>
      <c r="U47" s="91"/>
      <c r="V47" s="91"/>
      <c r="W47" s="91"/>
    </row>
    <row r="48" spans="2:23" ht="14.4" outlineLevel="1" x14ac:dyDescent="0.3">
      <c r="B48" s="425">
        <f t="shared" si="0"/>
        <v>32</v>
      </c>
      <c r="C48" s="95" t="s">
        <v>494</v>
      </c>
      <c r="D48" s="474">
        <v>509.31</v>
      </c>
      <c r="E48" s="588">
        <v>0</v>
      </c>
      <c r="F48" s="586">
        <v>0</v>
      </c>
      <c r="G48" s="586">
        <v>0</v>
      </c>
      <c r="H48" s="586">
        <v>0</v>
      </c>
      <c r="I48" s="586">
        <v>0</v>
      </c>
      <c r="J48" s="586">
        <v>447</v>
      </c>
      <c r="K48" s="586">
        <v>0</v>
      </c>
      <c r="L48" s="91"/>
      <c r="M48" s="91"/>
      <c r="N48" s="91"/>
      <c r="O48" s="91"/>
      <c r="P48" s="91"/>
      <c r="Q48" s="91"/>
      <c r="R48" s="91"/>
      <c r="S48" s="91"/>
      <c r="T48" s="91"/>
      <c r="U48" s="91"/>
      <c r="V48" s="91"/>
      <c r="W48" s="91"/>
    </row>
    <row r="49" spans="2:23" ht="14.4" outlineLevel="1" x14ac:dyDescent="0.3">
      <c r="B49" s="425">
        <f t="shared" si="0"/>
        <v>33</v>
      </c>
      <c r="C49" s="95" t="s">
        <v>496</v>
      </c>
      <c r="D49" s="474">
        <v>679.07</v>
      </c>
      <c r="E49" s="588">
        <v>0</v>
      </c>
      <c r="F49" s="586">
        <v>0</v>
      </c>
      <c r="G49" s="586">
        <v>0</v>
      </c>
      <c r="H49" s="586">
        <v>0</v>
      </c>
      <c r="I49" s="586">
        <v>0</v>
      </c>
      <c r="J49" s="586">
        <v>588</v>
      </c>
      <c r="K49" s="586">
        <v>0</v>
      </c>
      <c r="L49" s="91"/>
      <c r="M49" s="91"/>
      <c r="N49" s="91"/>
      <c r="O49" s="91"/>
      <c r="P49" s="91"/>
      <c r="Q49" s="91"/>
      <c r="R49" s="91"/>
      <c r="S49" s="91"/>
      <c r="T49" s="91"/>
      <c r="U49" s="91"/>
      <c r="V49" s="91"/>
      <c r="W49" s="91"/>
    </row>
    <row r="50" spans="2:23" ht="14.4" outlineLevel="1" x14ac:dyDescent="0.3">
      <c r="B50" s="425">
        <f t="shared" si="0"/>
        <v>34</v>
      </c>
      <c r="C50" s="95" t="s">
        <v>498</v>
      </c>
      <c r="D50" s="474">
        <v>933.26</v>
      </c>
      <c r="E50" s="588">
        <v>0</v>
      </c>
      <c r="F50" s="586">
        <v>0</v>
      </c>
      <c r="G50" s="586">
        <v>0</v>
      </c>
      <c r="H50" s="586">
        <v>0</v>
      </c>
      <c r="I50" s="586">
        <v>0</v>
      </c>
      <c r="J50" s="586">
        <v>1093</v>
      </c>
      <c r="K50" s="586">
        <v>0</v>
      </c>
      <c r="L50" s="91"/>
      <c r="M50" s="91"/>
      <c r="N50" s="91"/>
      <c r="O50" s="91"/>
      <c r="P50" s="91"/>
      <c r="Q50" s="91"/>
      <c r="R50" s="91"/>
      <c r="S50" s="91"/>
      <c r="T50" s="91"/>
      <c r="U50" s="91"/>
      <c r="V50" s="91"/>
      <c r="W50" s="91"/>
    </row>
    <row r="51" spans="2:23" ht="14.4" outlineLevel="1" x14ac:dyDescent="0.3">
      <c r="B51" s="425">
        <f t="shared" si="0"/>
        <v>35</v>
      </c>
      <c r="C51" s="95" t="s">
        <v>500</v>
      </c>
      <c r="D51" s="474">
        <v>1610.49</v>
      </c>
      <c r="E51" s="588">
        <v>0</v>
      </c>
      <c r="F51" s="586">
        <v>0</v>
      </c>
      <c r="G51" s="586">
        <v>0</v>
      </c>
      <c r="H51" s="586">
        <v>0</v>
      </c>
      <c r="I51" s="586">
        <v>0</v>
      </c>
      <c r="J51" s="586">
        <v>1574</v>
      </c>
      <c r="K51" s="586">
        <v>0</v>
      </c>
      <c r="L51" s="91"/>
      <c r="M51" s="91"/>
      <c r="N51" s="91"/>
      <c r="O51" s="91"/>
      <c r="P51" s="91"/>
      <c r="Q51" s="91"/>
      <c r="R51" s="91"/>
      <c r="S51" s="91"/>
      <c r="T51" s="91"/>
      <c r="U51" s="91"/>
      <c r="V51" s="91"/>
      <c r="W51" s="91"/>
    </row>
    <row r="52" spans="2:23" ht="14.4" outlineLevel="1" x14ac:dyDescent="0.3">
      <c r="B52" s="425">
        <f t="shared" si="0"/>
        <v>36</v>
      </c>
      <c r="C52" s="95" t="s">
        <v>502</v>
      </c>
      <c r="D52" s="474">
        <v>1898.45</v>
      </c>
      <c r="E52" s="588">
        <v>0</v>
      </c>
      <c r="F52" s="586">
        <v>0</v>
      </c>
      <c r="G52" s="586">
        <v>0</v>
      </c>
      <c r="H52" s="586">
        <v>0</v>
      </c>
      <c r="I52" s="586">
        <v>0</v>
      </c>
      <c r="J52" s="586">
        <v>2046</v>
      </c>
      <c r="K52" s="586">
        <v>0</v>
      </c>
      <c r="L52" s="91"/>
      <c r="M52" s="91"/>
      <c r="N52" s="91"/>
      <c r="O52" s="91"/>
      <c r="P52" s="91"/>
      <c r="Q52" s="91"/>
      <c r="R52" s="91"/>
      <c r="S52" s="91"/>
      <c r="T52" s="91"/>
      <c r="U52" s="91"/>
      <c r="V52" s="91"/>
      <c r="W52" s="91"/>
    </row>
    <row r="53" spans="2:23" ht="14.4" outlineLevel="1" x14ac:dyDescent="0.3">
      <c r="B53" s="425">
        <f t="shared" si="0"/>
        <v>37</v>
      </c>
      <c r="C53" s="95" t="s">
        <v>504</v>
      </c>
      <c r="D53" s="474">
        <v>2363.7200000000003</v>
      </c>
      <c r="E53" s="588">
        <v>0</v>
      </c>
      <c r="F53" s="586">
        <v>0</v>
      </c>
      <c r="G53" s="586">
        <v>0</v>
      </c>
      <c r="H53" s="586">
        <v>0</v>
      </c>
      <c r="I53" s="586">
        <v>0</v>
      </c>
      <c r="J53" s="586">
        <v>3048</v>
      </c>
      <c r="K53" s="586">
        <v>0</v>
      </c>
      <c r="L53" s="91"/>
      <c r="M53" s="91"/>
      <c r="N53" s="91"/>
      <c r="O53" s="91"/>
      <c r="P53" s="91"/>
      <c r="Q53" s="91"/>
      <c r="R53" s="91"/>
      <c r="S53" s="91"/>
      <c r="T53" s="91"/>
      <c r="U53" s="91"/>
      <c r="V53" s="91"/>
      <c r="W53" s="91"/>
    </row>
    <row r="54" spans="2:23" ht="14.4" outlineLevel="1" x14ac:dyDescent="0.3">
      <c r="B54" s="425">
        <f t="shared" si="0"/>
        <v>38</v>
      </c>
      <c r="C54" s="95" t="s">
        <v>198</v>
      </c>
      <c r="D54" s="474">
        <v>547.98</v>
      </c>
      <c r="E54" s="588">
        <v>217</v>
      </c>
      <c r="F54" s="586">
        <v>20</v>
      </c>
      <c r="G54" s="586">
        <v>7</v>
      </c>
      <c r="H54" s="586">
        <v>3</v>
      </c>
      <c r="I54" s="586">
        <v>18</v>
      </c>
      <c r="J54" s="586">
        <v>0</v>
      </c>
      <c r="K54" s="586">
        <v>311</v>
      </c>
      <c r="L54" s="91"/>
      <c r="M54" s="91"/>
      <c r="N54" s="91"/>
      <c r="O54" s="91"/>
      <c r="P54" s="91"/>
      <c r="Q54" s="91"/>
      <c r="R54" s="91"/>
      <c r="S54" s="91"/>
      <c r="T54" s="91"/>
      <c r="U54" s="91"/>
      <c r="V54" s="91"/>
      <c r="W54" s="91"/>
    </row>
    <row r="55" spans="2:23" ht="14.4" outlineLevel="1" x14ac:dyDescent="0.3">
      <c r="B55" s="425">
        <f t="shared" si="0"/>
        <v>39</v>
      </c>
      <c r="C55" s="95" t="s">
        <v>202</v>
      </c>
      <c r="D55" s="474">
        <v>843.5</v>
      </c>
      <c r="E55" s="588">
        <v>206</v>
      </c>
      <c r="F55" s="586">
        <v>10</v>
      </c>
      <c r="G55" s="586">
        <v>5</v>
      </c>
      <c r="H55" s="586">
        <v>3</v>
      </c>
      <c r="I55" s="586">
        <v>13</v>
      </c>
      <c r="J55" s="586">
        <v>559</v>
      </c>
      <c r="K55" s="586">
        <v>0</v>
      </c>
      <c r="L55" s="91"/>
      <c r="M55" s="91"/>
      <c r="N55" s="91"/>
      <c r="O55" s="91"/>
      <c r="P55" s="91"/>
      <c r="Q55" s="91"/>
      <c r="R55" s="91"/>
      <c r="S55" s="91"/>
      <c r="T55" s="91"/>
      <c r="U55" s="91"/>
      <c r="V55" s="91"/>
      <c r="W55" s="91"/>
    </row>
    <row r="56" spans="2:23" s="230" customFormat="1" x14ac:dyDescent="0.2">
      <c r="C56" s="504"/>
    </row>
    <row r="57" spans="2:23" ht="15.6" x14ac:dyDescent="0.2">
      <c r="C57" s="469" t="s">
        <v>853</v>
      </c>
      <c r="D57" s="437"/>
      <c r="E57" s="437"/>
      <c r="F57" s="437"/>
      <c r="G57" s="438"/>
    </row>
    <row r="58" spans="2:23" x14ac:dyDescent="0.2">
      <c r="C58" s="252"/>
    </row>
    <row r="59" spans="2:23" ht="24" x14ac:dyDescent="0.2">
      <c r="B59" s="252"/>
      <c r="C59" s="96" t="s">
        <v>974</v>
      </c>
      <c r="E59" s="475" t="s">
        <v>975</v>
      </c>
      <c r="F59" s="570" t="s">
        <v>976</v>
      </c>
      <c r="G59" s="571"/>
      <c r="H59" s="571"/>
      <c r="I59" s="572"/>
      <c r="J59" s="573" t="s">
        <v>977</v>
      </c>
      <c r="K59" s="573"/>
      <c r="L59" s="476" t="s">
        <v>978</v>
      </c>
      <c r="M59" s="477" t="s">
        <v>1001</v>
      </c>
      <c r="N59" s="570" t="s">
        <v>979</v>
      </c>
      <c r="O59" s="571"/>
      <c r="P59" s="571"/>
      <c r="Q59" s="571"/>
      <c r="R59" s="571"/>
      <c r="S59" s="571"/>
      <c r="T59" s="571"/>
      <c r="U59" s="572"/>
      <c r="V59" s="475" t="s">
        <v>980</v>
      </c>
      <c r="W59" s="475"/>
    </row>
    <row r="60" spans="2:23" ht="60" x14ac:dyDescent="0.2">
      <c r="B60" s="252"/>
      <c r="C60" s="418" t="s">
        <v>456</v>
      </c>
      <c r="D60" s="461" t="s">
        <v>993</v>
      </c>
      <c r="E60" s="461" t="s">
        <v>975</v>
      </c>
      <c r="F60" s="461" t="s">
        <v>981</v>
      </c>
      <c r="G60" s="461" t="s">
        <v>982</v>
      </c>
      <c r="H60" s="461" t="s">
        <v>983</v>
      </c>
      <c r="I60" s="473" t="s">
        <v>984</v>
      </c>
      <c r="J60" s="418" t="s">
        <v>977</v>
      </c>
      <c r="K60" s="418" t="s">
        <v>985</v>
      </c>
      <c r="L60" s="461" t="s">
        <v>733</v>
      </c>
      <c r="M60" s="461" t="s">
        <v>1002</v>
      </c>
      <c r="N60" s="461" t="s">
        <v>986</v>
      </c>
      <c r="O60" s="461" t="s">
        <v>987</v>
      </c>
      <c r="P60" s="461" t="s">
        <v>1026</v>
      </c>
      <c r="Q60" s="461" t="s">
        <v>1027</v>
      </c>
      <c r="R60" s="461" t="s">
        <v>988</v>
      </c>
      <c r="S60" s="461" t="s">
        <v>989</v>
      </c>
      <c r="T60" s="461" t="s">
        <v>1003</v>
      </c>
      <c r="U60" s="461" t="s">
        <v>990</v>
      </c>
      <c r="V60" s="461" t="s">
        <v>991</v>
      </c>
      <c r="W60" s="461" t="s">
        <v>992</v>
      </c>
    </row>
    <row r="61" spans="2:23" ht="14.4" x14ac:dyDescent="0.3">
      <c r="B61" s="425">
        <v>1</v>
      </c>
      <c r="C61" s="95" t="s">
        <v>456</v>
      </c>
      <c r="D61" s="474"/>
      <c r="E61" s="474"/>
      <c r="F61" s="91"/>
      <c r="G61" s="91"/>
      <c r="H61" s="91"/>
      <c r="I61" s="91"/>
      <c r="J61" s="427"/>
      <c r="K61" s="427"/>
      <c r="L61" s="91"/>
      <c r="M61" s="91"/>
      <c r="N61" s="91"/>
      <c r="O61" s="91"/>
      <c r="P61" s="91"/>
      <c r="Q61" s="91"/>
      <c r="R61" s="91"/>
      <c r="S61" s="91"/>
      <c r="T61" s="91"/>
      <c r="U61" s="91"/>
      <c r="V61" s="91"/>
      <c r="W61" s="91"/>
    </row>
    <row r="62" spans="2:23" ht="14.4" x14ac:dyDescent="0.3">
      <c r="B62" s="425">
        <f>1+B61</f>
        <v>2</v>
      </c>
      <c r="C62" s="95" t="s">
        <v>456</v>
      </c>
      <c r="D62" s="474"/>
      <c r="E62" s="474"/>
      <c r="F62" s="91"/>
      <c r="G62" s="91"/>
      <c r="H62" s="91"/>
      <c r="I62" s="91"/>
      <c r="J62" s="91"/>
      <c r="K62" s="91"/>
      <c r="L62" s="91"/>
      <c r="M62" s="91"/>
      <c r="N62" s="91"/>
      <c r="O62" s="91"/>
      <c r="P62" s="91"/>
      <c r="Q62" s="91"/>
      <c r="R62" s="91"/>
      <c r="S62" s="91"/>
      <c r="T62" s="91"/>
      <c r="U62" s="91"/>
      <c r="V62" s="91"/>
      <c r="W62" s="91"/>
    </row>
    <row r="63" spans="2:23" ht="14.4" x14ac:dyDescent="0.3">
      <c r="B63" s="425">
        <f t="shared" ref="B63:B69" si="1">1+B62</f>
        <v>3</v>
      </c>
      <c r="C63" s="95" t="s">
        <v>456</v>
      </c>
      <c r="D63" s="474"/>
      <c r="E63" s="474"/>
      <c r="F63" s="91"/>
      <c r="G63" s="91"/>
      <c r="H63" s="91"/>
      <c r="I63" s="91"/>
      <c r="J63" s="91"/>
      <c r="K63" s="91"/>
      <c r="L63" s="91"/>
      <c r="M63" s="91"/>
      <c r="N63" s="91"/>
      <c r="O63" s="91"/>
      <c r="P63" s="91"/>
      <c r="Q63" s="91"/>
      <c r="R63" s="91"/>
      <c r="S63" s="91"/>
      <c r="T63" s="91"/>
      <c r="U63" s="91"/>
      <c r="V63" s="91"/>
      <c r="W63" s="91"/>
    </row>
    <row r="64" spans="2:23" ht="14.4" x14ac:dyDescent="0.3">
      <c r="B64" s="425">
        <f t="shared" si="1"/>
        <v>4</v>
      </c>
      <c r="C64" s="95" t="s">
        <v>456</v>
      </c>
      <c r="D64" s="474"/>
      <c r="E64" s="474"/>
      <c r="F64" s="91"/>
      <c r="G64" s="91"/>
      <c r="H64" s="91"/>
      <c r="I64" s="91"/>
      <c r="J64" s="91"/>
      <c r="K64" s="91"/>
      <c r="L64" s="91"/>
      <c r="M64" s="91"/>
      <c r="N64" s="91"/>
      <c r="O64" s="91"/>
      <c r="P64" s="91"/>
      <c r="Q64" s="91"/>
      <c r="R64" s="91"/>
      <c r="S64" s="91"/>
      <c r="T64" s="91"/>
      <c r="U64" s="91"/>
      <c r="V64" s="91"/>
      <c r="W64" s="91"/>
    </row>
    <row r="65" spans="2:43" ht="14.4" x14ac:dyDescent="0.3">
      <c r="B65" s="425">
        <f t="shared" si="1"/>
        <v>5</v>
      </c>
      <c r="C65" s="95" t="s">
        <v>456</v>
      </c>
      <c r="D65" s="474"/>
      <c r="E65" s="474"/>
      <c r="F65" s="91"/>
      <c r="G65" s="91"/>
      <c r="H65" s="91"/>
      <c r="I65" s="91"/>
      <c r="J65" s="91"/>
      <c r="K65" s="91"/>
      <c r="L65" s="91"/>
      <c r="M65" s="91"/>
      <c r="N65" s="91"/>
      <c r="O65" s="91"/>
      <c r="P65" s="91"/>
      <c r="Q65" s="91"/>
      <c r="R65" s="91"/>
      <c r="S65" s="91"/>
      <c r="T65" s="91"/>
      <c r="U65" s="91"/>
      <c r="V65" s="91"/>
      <c r="W65" s="91"/>
    </row>
    <row r="66" spans="2:43" ht="14.4" x14ac:dyDescent="0.3">
      <c r="B66" s="425">
        <f t="shared" si="1"/>
        <v>6</v>
      </c>
      <c r="C66" s="95" t="s">
        <v>456</v>
      </c>
      <c r="D66" s="474"/>
      <c r="E66" s="474"/>
      <c r="F66" s="91"/>
      <c r="G66" s="91"/>
      <c r="H66" s="91"/>
      <c r="I66" s="91"/>
      <c r="J66" s="91"/>
      <c r="K66" s="91"/>
      <c r="L66" s="91"/>
      <c r="M66" s="91"/>
      <c r="N66" s="91"/>
      <c r="O66" s="91"/>
      <c r="P66" s="91"/>
      <c r="Q66" s="91"/>
      <c r="R66" s="91"/>
      <c r="S66" s="91"/>
      <c r="T66" s="91"/>
      <c r="U66" s="91"/>
      <c r="V66" s="91"/>
      <c r="W66" s="91"/>
    </row>
    <row r="67" spans="2:43" ht="14.4" x14ac:dyDescent="0.3">
      <c r="B67" s="425">
        <f t="shared" si="1"/>
        <v>7</v>
      </c>
      <c r="C67" s="95" t="s">
        <v>456</v>
      </c>
      <c r="D67" s="474"/>
      <c r="E67" s="474"/>
      <c r="F67" s="91"/>
      <c r="G67" s="91"/>
      <c r="H67" s="91"/>
      <c r="I67" s="91"/>
      <c r="J67" s="91"/>
      <c r="K67" s="91"/>
      <c r="L67" s="91"/>
      <c r="M67" s="91"/>
      <c r="N67" s="91"/>
      <c r="O67" s="91"/>
      <c r="P67" s="91"/>
      <c r="Q67" s="91"/>
      <c r="R67" s="91"/>
      <c r="S67" s="91"/>
      <c r="T67" s="91"/>
      <c r="U67" s="91"/>
      <c r="V67" s="91"/>
      <c r="W67" s="91"/>
    </row>
    <row r="68" spans="2:43" ht="14.4" x14ac:dyDescent="0.3">
      <c r="B68" s="425">
        <f t="shared" si="1"/>
        <v>8</v>
      </c>
      <c r="C68" s="95" t="s">
        <v>456</v>
      </c>
      <c r="D68" s="474"/>
      <c r="E68" s="474"/>
      <c r="F68" s="91"/>
      <c r="G68" s="91"/>
      <c r="H68" s="91"/>
      <c r="I68" s="91"/>
      <c r="J68" s="91"/>
      <c r="K68" s="91"/>
      <c r="L68" s="91"/>
      <c r="M68" s="91"/>
      <c r="N68" s="91"/>
      <c r="O68" s="91"/>
      <c r="P68" s="91"/>
      <c r="Q68" s="91"/>
      <c r="R68" s="91"/>
      <c r="S68" s="91"/>
      <c r="T68" s="91"/>
      <c r="U68" s="91"/>
      <c r="V68" s="91"/>
      <c r="W68" s="91"/>
    </row>
    <row r="69" spans="2:43" ht="14.4" x14ac:dyDescent="0.3">
      <c r="B69" s="425">
        <f t="shared" si="1"/>
        <v>9</v>
      </c>
      <c r="C69" s="95" t="s">
        <v>456</v>
      </c>
      <c r="D69" s="474"/>
      <c r="E69" s="474"/>
      <c r="F69" s="91"/>
      <c r="G69" s="91"/>
      <c r="H69" s="91"/>
      <c r="I69" s="91"/>
      <c r="J69" s="91"/>
      <c r="K69" s="91"/>
      <c r="L69" s="91"/>
      <c r="M69" s="91"/>
      <c r="N69" s="91"/>
      <c r="O69" s="91"/>
      <c r="P69" s="91"/>
      <c r="Q69" s="91"/>
      <c r="R69" s="91"/>
      <c r="S69" s="91"/>
      <c r="T69" s="91"/>
      <c r="U69" s="91"/>
      <c r="V69" s="91"/>
      <c r="W69" s="91"/>
    </row>
    <row r="70" spans="2:43" s="230" customFormat="1" x14ac:dyDescent="0.2">
      <c r="B70" s="504"/>
      <c r="C70" s="505"/>
    </row>
    <row r="71" spans="2:43" ht="15.6" x14ac:dyDescent="0.2">
      <c r="C71" s="469" t="s">
        <v>854</v>
      </c>
      <c r="D71" s="437"/>
      <c r="E71" s="437"/>
      <c r="F71" s="437"/>
      <c r="G71" s="438"/>
    </row>
    <row r="72" spans="2:43" x14ac:dyDescent="0.2">
      <c r="C72" s="252"/>
    </row>
    <row r="73" spans="2:43" ht="36" x14ac:dyDescent="0.2">
      <c r="B73" s="252"/>
      <c r="C73" s="96" t="s">
        <v>974</v>
      </c>
      <c r="D73" s="478" t="s">
        <v>994</v>
      </c>
      <c r="E73" s="479" t="s">
        <v>975</v>
      </c>
      <c r="F73" s="562" t="s">
        <v>976</v>
      </c>
      <c r="G73" s="563"/>
      <c r="H73" s="563"/>
      <c r="I73" s="564"/>
      <c r="J73" s="574" t="s">
        <v>977</v>
      </c>
      <c r="K73" s="574"/>
      <c r="L73" s="480" t="s">
        <v>978</v>
      </c>
      <c r="M73" s="481" t="s">
        <v>1001</v>
      </c>
      <c r="N73" s="562" t="s">
        <v>979</v>
      </c>
      <c r="O73" s="563"/>
      <c r="P73" s="563"/>
      <c r="Q73" s="563"/>
      <c r="R73" s="563"/>
      <c r="S73" s="563"/>
      <c r="T73" s="563"/>
      <c r="U73" s="564"/>
      <c r="V73" s="482" t="s">
        <v>980</v>
      </c>
      <c r="W73" s="482"/>
      <c r="X73" s="482" t="s">
        <v>995</v>
      </c>
      <c r="Y73" s="482" t="s">
        <v>975</v>
      </c>
      <c r="Z73" s="574" t="s">
        <v>976</v>
      </c>
      <c r="AA73" s="574"/>
      <c r="AB73" s="574"/>
      <c r="AC73" s="574"/>
      <c r="AD73" s="575" t="s">
        <v>977</v>
      </c>
      <c r="AE73" s="575"/>
      <c r="AF73" s="480" t="s">
        <v>978</v>
      </c>
      <c r="AG73" s="481" t="s">
        <v>1008</v>
      </c>
      <c r="AH73" s="562" t="s">
        <v>979</v>
      </c>
      <c r="AI73" s="563"/>
      <c r="AJ73" s="563"/>
      <c r="AK73" s="563"/>
      <c r="AL73" s="563"/>
      <c r="AM73" s="563"/>
      <c r="AN73" s="563"/>
      <c r="AO73" s="564"/>
      <c r="AP73" s="479" t="s">
        <v>980</v>
      </c>
      <c r="AQ73" s="479"/>
    </row>
    <row r="74" spans="2:43" ht="60" x14ac:dyDescent="0.2">
      <c r="B74" s="252"/>
      <c r="C74" s="418" t="s">
        <v>456</v>
      </c>
      <c r="D74" s="461" t="s">
        <v>996</v>
      </c>
      <c r="E74" s="461" t="s">
        <v>975</v>
      </c>
      <c r="F74" s="461" t="s">
        <v>981</v>
      </c>
      <c r="G74" s="461" t="s">
        <v>982</v>
      </c>
      <c r="H74" s="461" t="s">
        <v>983</v>
      </c>
      <c r="I74" s="473" t="s">
        <v>984</v>
      </c>
      <c r="J74" s="418" t="s">
        <v>977</v>
      </c>
      <c r="K74" s="418" t="s">
        <v>985</v>
      </c>
      <c r="L74" s="461" t="s">
        <v>733</v>
      </c>
      <c r="M74" s="461" t="s">
        <v>1002</v>
      </c>
      <c r="N74" s="461" t="s">
        <v>986</v>
      </c>
      <c r="O74" s="461" t="s">
        <v>987</v>
      </c>
      <c r="P74" s="461" t="s">
        <v>1026</v>
      </c>
      <c r="Q74" s="461" t="s">
        <v>1027</v>
      </c>
      <c r="R74" s="461" t="s">
        <v>988</v>
      </c>
      <c r="S74" s="461" t="s">
        <v>989</v>
      </c>
      <c r="T74" s="461" t="s">
        <v>1003</v>
      </c>
      <c r="U74" s="461" t="s">
        <v>990</v>
      </c>
      <c r="V74" s="461" t="s">
        <v>991</v>
      </c>
      <c r="W74" s="461" t="s">
        <v>992</v>
      </c>
      <c r="X74" s="461" t="s">
        <v>997</v>
      </c>
      <c r="Y74" s="461" t="s">
        <v>975</v>
      </c>
      <c r="Z74" s="461" t="s">
        <v>981</v>
      </c>
      <c r="AA74" s="461" t="s">
        <v>982</v>
      </c>
      <c r="AB74" s="461" t="s">
        <v>983</v>
      </c>
      <c r="AC74" s="483" t="s">
        <v>984</v>
      </c>
      <c r="AD74" s="418" t="s">
        <v>977</v>
      </c>
      <c r="AE74" s="418" t="s">
        <v>985</v>
      </c>
      <c r="AF74" s="461" t="s">
        <v>733</v>
      </c>
      <c r="AG74" s="461" t="s">
        <v>1002</v>
      </c>
      <c r="AH74" s="461" t="s">
        <v>986</v>
      </c>
      <c r="AI74" s="461" t="s">
        <v>987</v>
      </c>
      <c r="AJ74" s="461" t="s">
        <v>1026</v>
      </c>
      <c r="AK74" s="461" t="s">
        <v>1027</v>
      </c>
      <c r="AL74" s="461" t="s">
        <v>988</v>
      </c>
      <c r="AM74" s="461" t="s">
        <v>989</v>
      </c>
      <c r="AN74" s="461" t="s">
        <v>1003</v>
      </c>
      <c r="AO74" s="461" t="s">
        <v>990</v>
      </c>
      <c r="AP74" s="461" t="s">
        <v>991</v>
      </c>
      <c r="AQ74" s="461" t="s">
        <v>992</v>
      </c>
    </row>
    <row r="75" spans="2:43" ht="14.4" x14ac:dyDescent="0.3">
      <c r="B75" s="425">
        <v>1</v>
      </c>
      <c r="C75" s="95" t="s">
        <v>179</v>
      </c>
      <c r="D75" s="474">
        <v>328.44</v>
      </c>
      <c r="E75" s="588">
        <v>120</v>
      </c>
      <c r="F75" s="586">
        <v>14</v>
      </c>
      <c r="G75" s="586">
        <v>3</v>
      </c>
      <c r="H75" s="586">
        <v>1</v>
      </c>
      <c r="I75" s="586">
        <v>15</v>
      </c>
      <c r="J75" s="587">
        <v>0</v>
      </c>
      <c r="K75" s="587">
        <v>143</v>
      </c>
      <c r="L75" s="91"/>
      <c r="M75" s="91"/>
      <c r="N75" s="91"/>
      <c r="O75" s="91"/>
      <c r="P75" s="91"/>
      <c r="Q75" s="91"/>
      <c r="R75" s="91"/>
      <c r="S75" s="91"/>
      <c r="T75" s="91"/>
      <c r="U75" s="91"/>
      <c r="V75" s="91"/>
      <c r="W75" s="91"/>
      <c r="X75" s="474"/>
      <c r="Y75" s="474"/>
      <c r="Z75" s="91"/>
      <c r="AA75" s="91"/>
      <c r="AB75" s="91"/>
      <c r="AC75" s="91"/>
      <c r="AD75" s="427"/>
      <c r="AE75" s="427"/>
      <c r="AF75" s="91"/>
      <c r="AG75" s="91"/>
      <c r="AH75" s="91"/>
      <c r="AI75" s="91"/>
      <c r="AJ75" s="91"/>
      <c r="AK75" s="91"/>
      <c r="AL75" s="91"/>
      <c r="AM75" s="91"/>
      <c r="AN75" s="91"/>
      <c r="AO75" s="91"/>
      <c r="AP75" s="91"/>
      <c r="AQ75" s="91"/>
    </row>
    <row r="76" spans="2:43" ht="14.4" x14ac:dyDescent="0.3">
      <c r="B76" s="425">
        <f>1+B75</f>
        <v>2</v>
      </c>
      <c r="C76" s="95" t="s">
        <v>181</v>
      </c>
      <c r="D76" s="474">
        <v>367.29</v>
      </c>
      <c r="E76" s="588">
        <v>147</v>
      </c>
      <c r="F76" s="586">
        <v>19</v>
      </c>
      <c r="G76" s="586">
        <v>5</v>
      </c>
      <c r="H76" s="586">
        <v>1</v>
      </c>
      <c r="I76" s="586">
        <v>18</v>
      </c>
      <c r="J76" s="586">
        <v>175</v>
      </c>
      <c r="K76" s="586">
        <v>0</v>
      </c>
      <c r="L76" s="91"/>
      <c r="M76" s="91"/>
      <c r="N76" s="91"/>
      <c r="O76" s="91"/>
      <c r="P76" s="91"/>
      <c r="Q76" s="91"/>
      <c r="R76" s="91"/>
      <c r="S76" s="91"/>
      <c r="T76" s="91"/>
      <c r="U76" s="91"/>
      <c r="V76" s="91"/>
      <c r="W76" s="91"/>
      <c r="X76" s="474"/>
      <c r="Y76" s="474"/>
      <c r="Z76" s="91"/>
      <c r="AA76" s="91"/>
      <c r="AB76" s="91"/>
      <c r="AC76" s="91"/>
      <c r="AD76" s="91"/>
      <c r="AE76" s="91"/>
      <c r="AF76" s="91"/>
      <c r="AG76" s="91"/>
      <c r="AH76" s="91"/>
      <c r="AI76" s="91"/>
      <c r="AJ76" s="91"/>
      <c r="AK76" s="91"/>
      <c r="AL76" s="91"/>
      <c r="AM76" s="91"/>
      <c r="AN76" s="91"/>
      <c r="AO76" s="91"/>
      <c r="AP76" s="91"/>
      <c r="AQ76" s="91"/>
    </row>
    <row r="77" spans="2:43" ht="14.4" x14ac:dyDescent="0.3">
      <c r="B77" s="425">
        <f>1+B76</f>
        <v>3</v>
      </c>
      <c r="C77" s="95" t="s">
        <v>183</v>
      </c>
      <c r="D77" s="474">
        <v>421.32</v>
      </c>
      <c r="E77" s="588">
        <v>127</v>
      </c>
      <c r="F77" s="586">
        <v>16</v>
      </c>
      <c r="G77" s="586">
        <v>3</v>
      </c>
      <c r="H77" s="586">
        <v>1</v>
      </c>
      <c r="I77" s="586">
        <v>16</v>
      </c>
      <c r="J77" s="586">
        <v>165</v>
      </c>
      <c r="K77" s="586">
        <v>0</v>
      </c>
      <c r="L77" s="91"/>
      <c r="M77" s="91"/>
      <c r="N77" s="91"/>
      <c r="O77" s="91"/>
      <c r="P77" s="91"/>
      <c r="Q77" s="91"/>
      <c r="R77" s="91"/>
      <c r="S77" s="91"/>
      <c r="T77" s="91"/>
      <c r="U77" s="91"/>
      <c r="V77" s="91"/>
      <c r="W77" s="91"/>
      <c r="X77" s="474"/>
      <c r="Y77" s="474"/>
      <c r="Z77" s="91"/>
      <c r="AA77" s="91"/>
      <c r="AB77" s="91"/>
      <c r="AC77" s="91"/>
      <c r="AD77" s="91"/>
      <c r="AE77" s="91"/>
      <c r="AF77" s="91"/>
      <c r="AG77" s="91"/>
      <c r="AH77" s="91"/>
      <c r="AI77" s="91"/>
      <c r="AJ77" s="91"/>
      <c r="AK77" s="91"/>
      <c r="AL77" s="91"/>
      <c r="AM77" s="91"/>
      <c r="AN77" s="91"/>
      <c r="AO77" s="91"/>
      <c r="AP77" s="91"/>
      <c r="AQ77" s="91"/>
    </row>
    <row r="78" spans="2:43" x14ac:dyDescent="0.2">
      <c r="C78" s="252" t="s">
        <v>1064</v>
      </c>
    </row>
    <row r="79" spans="2:43" x14ac:dyDescent="0.2">
      <c r="C79" s="506" t="s">
        <v>1065</v>
      </c>
    </row>
    <row r="80" spans="2:43" x14ac:dyDescent="0.2">
      <c r="C80" s="507" t="s">
        <v>1066</v>
      </c>
    </row>
    <row r="81" spans="1:7" x14ac:dyDescent="0.2">
      <c r="A81" s="252"/>
    </row>
    <row r="82" spans="1:7" s="413" customFormat="1" ht="15.6" x14ac:dyDescent="0.2">
      <c r="A82" s="412">
        <v>5</v>
      </c>
      <c r="B82" s="412" t="s">
        <v>972</v>
      </c>
      <c r="C82" s="412"/>
    </row>
    <row r="83" spans="1:7" x14ac:dyDescent="0.2">
      <c r="C83" s="252"/>
    </row>
    <row r="84" spans="1:7" x14ac:dyDescent="0.2">
      <c r="C84" s="252"/>
    </row>
    <row r="85" spans="1:7" ht="15.6" x14ac:dyDescent="0.2">
      <c r="B85" s="252"/>
      <c r="C85" s="9" t="s">
        <v>972</v>
      </c>
    </row>
    <row r="86" spans="1:7" x14ac:dyDescent="0.2">
      <c r="B86" s="252"/>
      <c r="C86" t="s">
        <v>998</v>
      </c>
    </row>
    <row r="87" spans="1:7" x14ac:dyDescent="0.2">
      <c r="B87" s="252"/>
      <c r="C87" s="468" t="s">
        <v>999</v>
      </c>
    </row>
    <row r="88" spans="1:7" ht="13.2" x14ac:dyDescent="0.2">
      <c r="B88" s="252"/>
      <c r="C88" s="436" t="s">
        <v>852</v>
      </c>
      <c r="D88" s="437"/>
      <c r="E88" s="437"/>
      <c r="F88" s="437"/>
      <c r="G88" s="438"/>
    </row>
    <row r="89" spans="1:7" ht="13.2" x14ac:dyDescent="0.2">
      <c r="B89" s="252"/>
      <c r="C89" s="436" t="s">
        <v>853</v>
      </c>
      <c r="D89" s="437"/>
      <c r="E89" s="437"/>
      <c r="F89" s="437"/>
      <c r="G89" s="438"/>
    </row>
    <row r="90" spans="1:7" ht="13.2" x14ac:dyDescent="0.2">
      <c r="B90" s="252"/>
      <c r="C90" s="436" t="s">
        <v>854</v>
      </c>
      <c r="D90" s="437"/>
      <c r="E90" s="437"/>
      <c r="F90" s="437"/>
      <c r="G90" s="438"/>
    </row>
    <row r="91" spans="1:7" x14ac:dyDescent="0.2">
      <c r="B91" s="252"/>
      <c r="C91" s="468" t="s">
        <v>973</v>
      </c>
    </row>
    <row r="92" spans="1:7" x14ac:dyDescent="0.2">
      <c r="B92" s="252"/>
      <c r="C92" s="468" t="s">
        <v>1067</v>
      </c>
    </row>
    <row r="93" spans="1:7" x14ac:dyDescent="0.2">
      <c r="B93" s="252"/>
      <c r="C93" s="468"/>
    </row>
    <row r="94" spans="1:7" ht="12" x14ac:dyDescent="0.2">
      <c r="B94" s="252"/>
      <c r="C94" s="101" t="s">
        <v>855</v>
      </c>
    </row>
    <row r="95" spans="1:7" ht="12" x14ac:dyDescent="0.2">
      <c r="B95" s="252"/>
      <c r="C95" s="415">
        <v>2024</v>
      </c>
      <c r="D95" s="101" t="s">
        <v>1068</v>
      </c>
    </row>
    <row r="96" spans="1:7" x14ac:dyDescent="0.2">
      <c r="B96" s="252"/>
      <c r="C96" s="468"/>
    </row>
    <row r="97" spans="2:23" ht="15.6" x14ac:dyDescent="0.2">
      <c r="B97" s="252"/>
      <c r="C97" s="469" t="s">
        <v>852</v>
      </c>
      <c r="D97" s="437"/>
      <c r="E97" s="437"/>
      <c r="F97" s="437"/>
      <c r="G97" s="438"/>
    </row>
    <row r="98" spans="2:23" x14ac:dyDescent="0.2">
      <c r="B98" s="252"/>
    </row>
    <row r="99" spans="2:23" ht="24" x14ac:dyDescent="0.2">
      <c r="B99" s="252"/>
      <c r="C99" s="96" t="s">
        <v>974</v>
      </c>
      <c r="E99" s="470" t="s">
        <v>975</v>
      </c>
      <c r="F99" s="566" t="s">
        <v>1000</v>
      </c>
      <c r="G99" s="567"/>
      <c r="H99" s="567"/>
      <c r="I99" s="568"/>
      <c r="J99" s="569" t="s">
        <v>977</v>
      </c>
      <c r="K99" s="569"/>
      <c r="L99" s="471" t="s">
        <v>978</v>
      </c>
      <c r="M99" s="472" t="s">
        <v>1001</v>
      </c>
      <c r="N99" s="566" t="s">
        <v>979</v>
      </c>
      <c r="O99" s="567"/>
      <c r="P99" s="567"/>
      <c r="Q99" s="567"/>
      <c r="R99" s="567"/>
      <c r="S99" s="567"/>
      <c r="T99" s="567"/>
      <c r="U99" s="568"/>
      <c r="V99" s="470" t="s">
        <v>980</v>
      </c>
      <c r="W99" s="470"/>
    </row>
    <row r="100" spans="2:23" ht="60" x14ac:dyDescent="0.2">
      <c r="B100" s="252"/>
      <c r="C100" s="418" t="s">
        <v>456</v>
      </c>
      <c r="D100" s="461" t="s">
        <v>380</v>
      </c>
      <c r="E100" s="461" t="s">
        <v>975</v>
      </c>
      <c r="F100" s="461" t="s">
        <v>981</v>
      </c>
      <c r="G100" s="461" t="s">
        <v>982</v>
      </c>
      <c r="H100" s="461" t="s">
        <v>983</v>
      </c>
      <c r="I100" s="473" t="s">
        <v>984</v>
      </c>
      <c r="J100" s="418" t="s">
        <v>977</v>
      </c>
      <c r="K100" s="418" t="s">
        <v>985</v>
      </c>
      <c r="L100" s="461" t="s">
        <v>733</v>
      </c>
      <c r="M100" s="461" t="s">
        <v>1002</v>
      </c>
      <c r="N100" s="461" t="s">
        <v>986</v>
      </c>
      <c r="O100" s="461" t="s">
        <v>987</v>
      </c>
      <c r="P100" s="461" t="s">
        <v>1026</v>
      </c>
      <c r="Q100" s="461" t="s">
        <v>1027</v>
      </c>
      <c r="R100" s="461" t="s">
        <v>988</v>
      </c>
      <c r="S100" s="461" t="s">
        <v>989</v>
      </c>
      <c r="T100" s="461" t="s">
        <v>1003</v>
      </c>
      <c r="U100" s="461" t="s">
        <v>990</v>
      </c>
      <c r="V100" s="461" t="s">
        <v>991</v>
      </c>
      <c r="W100" s="461" t="s">
        <v>992</v>
      </c>
    </row>
    <row r="101" spans="2:23" ht="14.4" x14ac:dyDescent="0.3">
      <c r="B101" s="425">
        <v>1</v>
      </c>
      <c r="C101" s="95" t="s">
        <v>166</v>
      </c>
      <c r="D101" s="474">
        <v>210.24</v>
      </c>
      <c r="E101" s="588">
        <v>195</v>
      </c>
      <c r="F101" s="586">
        <v>0</v>
      </c>
      <c r="G101" s="586">
        <v>0</v>
      </c>
      <c r="H101" s="586">
        <v>0</v>
      </c>
      <c r="I101" s="586">
        <v>0</v>
      </c>
      <c r="J101" s="587">
        <v>56</v>
      </c>
      <c r="K101" s="587">
        <v>0</v>
      </c>
      <c r="L101" s="91"/>
      <c r="M101" s="91"/>
      <c r="N101" s="91"/>
      <c r="O101" s="91"/>
      <c r="P101" s="91"/>
      <c r="Q101" s="91"/>
      <c r="R101" s="91"/>
      <c r="S101" s="91"/>
      <c r="T101" s="91"/>
      <c r="U101" s="91"/>
      <c r="V101" s="91"/>
      <c r="W101" s="91"/>
    </row>
    <row r="102" spans="2:23" ht="14.4" x14ac:dyDescent="0.3">
      <c r="B102" s="425">
        <f>1+B101</f>
        <v>2</v>
      </c>
      <c r="C102" s="95" t="s">
        <v>169</v>
      </c>
      <c r="D102" s="474">
        <v>244.01</v>
      </c>
      <c r="E102" s="588">
        <v>157</v>
      </c>
      <c r="F102" s="586">
        <v>4</v>
      </c>
      <c r="G102" s="586">
        <v>0</v>
      </c>
      <c r="H102" s="586">
        <v>0</v>
      </c>
      <c r="I102" s="586">
        <v>0</v>
      </c>
      <c r="J102" s="586">
        <v>106</v>
      </c>
      <c r="K102" s="586">
        <v>0</v>
      </c>
      <c r="L102" s="91"/>
      <c r="M102" s="91"/>
      <c r="N102" s="91"/>
      <c r="O102" s="91"/>
      <c r="P102" s="91"/>
      <c r="Q102" s="91"/>
      <c r="R102" s="91"/>
      <c r="S102" s="91"/>
      <c r="T102" s="91"/>
      <c r="U102" s="91"/>
      <c r="V102" s="91"/>
      <c r="W102" s="91"/>
    </row>
    <row r="103" spans="2:23" ht="14.4" x14ac:dyDescent="0.3">
      <c r="B103" s="425">
        <f t="shared" ref="B103:B166" si="2">1+B102</f>
        <v>3</v>
      </c>
      <c r="C103" s="95" t="s">
        <v>173</v>
      </c>
      <c r="D103" s="474">
        <v>281.16000000000003</v>
      </c>
      <c r="E103" s="588">
        <v>118</v>
      </c>
      <c r="F103" s="586">
        <v>9</v>
      </c>
      <c r="G103" s="586">
        <v>0</v>
      </c>
      <c r="H103" s="586">
        <v>0</v>
      </c>
      <c r="I103" s="586">
        <v>0</v>
      </c>
      <c r="J103" s="586">
        <v>148</v>
      </c>
      <c r="K103" s="586">
        <v>0</v>
      </c>
      <c r="L103" s="91"/>
      <c r="M103" s="91"/>
      <c r="N103" s="91"/>
      <c r="O103" s="91"/>
      <c r="P103" s="91"/>
      <c r="Q103" s="91"/>
      <c r="R103" s="91"/>
      <c r="S103" s="91"/>
      <c r="T103" s="91"/>
      <c r="U103" s="91"/>
      <c r="V103" s="91"/>
      <c r="W103" s="91"/>
    </row>
    <row r="104" spans="2:23" ht="14.4" x14ac:dyDescent="0.3">
      <c r="B104" s="425">
        <f t="shared" si="2"/>
        <v>4</v>
      </c>
      <c r="C104" s="95" t="s">
        <v>176</v>
      </c>
      <c r="D104" s="474">
        <v>328.44</v>
      </c>
      <c r="E104" s="588">
        <v>151</v>
      </c>
      <c r="F104" s="586">
        <v>18</v>
      </c>
      <c r="G104" s="586">
        <v>3</v>
      </c>
      <c r="H104" s="586">
        <v>1</v>
      </c>
      <c r="I104" s="586">
        <v>18</v>
      </c>
      <c r="J104" s="586">
        <v>0</v>
      </c>
      <c r="K104" s="586">
        <v>100</v>
      </c>
      <c r="L104" s="91"/>
      <c r="M104" s="91"/>
      <c r="N104" s="91"/>
      <c r="O104" s="91"/>
      <c r="P104" s="91"/>
      <c r="Q104" s="91"/>
      <c r="R104" s="91"/>
      <c r="S104" s="91"/>
      <c r="T104" s="91"/>
      <c r="U104" s="91"/>
      <c r="V104" s="91"/>
      <c r="W104" s="91"/>
    </row>
    <row r="105" spans="2:23" ht="14.4" x14ac:dyDescent="0.3">
      <c r="B105" s="425">
        <f t="shared" si="2"/>
        <v>5</v>
      </c>
      <c r="C105" s="95" t="s">
        <v>179</v>
      </c>
      <c r="D105" s="474">
        <v>367.29</v>
      </c>
      <c r="E105" s="588">
        <v>119</v>
      </c>
      <c r="F105" s="586">
        <v>11</v>
      </c>
      <c r="G105" s="586">
        <v>3</v>
      </c>
      <c r="H105" s="586">
        <v>1</v>
      </c>
      <c r="I105" s="586">
        <v>21</v>
      </c>
      <c r="J105" s="586">
        <v>0</v>
      </c>
      <c r="K105" s="586">
        <v>151</v>
      </c>
      <c r="L105" s="91"/>
      <c r="M105" s="91"/>
      <c r="N105" s="91"/>
      <c r="O105" s="91"/>
      <c r="P105" s="91"/>
      <c r="Q105" s="91"/>
      <c r="R105" s="91"/>
      <c r="S105" s="91"/>
      <c r="T105" s="91"/>
      <c r="U105" s="91"/>
      <c r="V105" s="91"/>
      <c r="W105" s="91"/>
    </row>
    <row r="106" spans="2:23" ht="14.4" x14ac:dyDescent="0.3">
      <c r="B106" s="425">
        <f t="shared" si="2"/>
        <v>6</v>
      </c>
      <c r="C106" s="95" t="s">
        <v>181</v>
      </c>
      <c r="D106" s="474">
        <v>421.32</v>
      </c>
      <c r="E106" s="588">
        <v>154</v>
      </c>
      <c r="F106" s="586">
        <v>15</v>
      </c>
      <c r="G106" s="586">
        <v>4</v>
      </c>
      <c r="H106" s="586">
        <v>1</v>
      </c>
      <c r="I106" s="586">
        <v>18</v>
      </c>
      <c r="J106" s="586">
        <v>0</v>
      </c>
      <c r="K106" s="586">
        <v>262</v>
      </c>
      <c r="L106" s="91"/>
      <c r="M106" s="91"/>
      <c r="N106" s="91"/>
      <c r="O106" s="91"/>
      <c r="P106" s="91"/>
      <c r="Q106" s="91"/>
      <c r="R106" s="91"/>
      <c r="S106" s="91"/>
      <c r="T106" s="91"/>
      <c r="U106" s="91"/>
      <c r="V106" s="91"/>
      <c r="W106" s="91"/>
    </row>
    <row r="107" spans="2:23" ht="14.4" x14ac:dyDescent="0.3">
      <c r="B107" s="425">
        <f t="shared" si="2"/>
        <v>7</v>
      </c>
      <c r="C107" s="95" t="s">
        <v>183</v>
      </c>
      <c r="D107" s="474">
        <v>505.76</v>
      </c>
      <c r="E107" s="588">
        <v>133</v>
      </c>
      <c r="F107" s="586">
        <v>19</v>
      </c>
      <c r="G107" s="586">
        <v>7</v>
      </c>
      <c r="H107" s="586">
        <v>3</v>
      </c>
      <c r="I107" s="586">
        <v>17</v>
      </c>
      <c r="J107" s="586">
        <v>0</v>
      </c>
      <c r="K107" s="586">
        <v>293</v>
      </c>
      <c r="L107" s="91"/>
      <c r="M107" s="91"/>
      <c r="N107" s="91"/>
      <c r="O107" s="91"/>
      <c r="P107" s="91"/>
      <c r="Q107" s="91"/>
      <c r="R107" s="91"/>
      <c r="S107" s="91"/>
      <c r="T107" s="91"/>
      <c r="U107" s="91"/>
      <c r="V107" s="91"/>
      <c r="W107" s="91"/>
    </row>
    <row r="108" spans="2:23" ht="14.4" x14ac:dyDescent="0.3">
      <c r="B108" s="425">
        <f t="shared" si="2"/>
        <v>8</v>
      </c>
      <c r="C108" s="95" t="s">
        <v>186</v>
      </c>
      <c r="D108" s="474">
        <v>547.98</v>
      </c>
      <c r="E108" s="588">
        <v>165</v>
      </c>
      <c r="F108" s="586">
        <v>20</v>
      </c>
      <c r="G108" s="586">
        <v>7</v>
      </c>
      <c r="H108" s="586">
        <v>3</v>
      </c>
      <c r="I108" s="586">
        <v>16</v>
      </c>
      <c r="J108" s="586">
        <v>0</v>
      </c>
      <c r="K108" s="586">
        <v>412</v>
      </c>
      <c r="L108" s="91"/>
      <c r="M108" s="91"/>
      <c r="N108" s="91"/>
      <c r="O108" s="91"/>
      <c r="P108" s="91"/>
      <c r="Q108" s="91"/>
      <c r="R108" s="91"/>
      <c r="S108" s="91"/>
      <c r="T108" s="91"/>
      <c r="U108" s="91"/>
      <c r="V108" s="91"/>
      <c r="W108" s="91"/>
    </row>
    <row r="109" spans="2:23" ht="14.4" x14ac:dyDescent="0.3">
      <c r="B109" s="425">
        <f t="shared" si="2"/>
        <v>9</v>
      </c>
      <c r="C109" s="95" t="s">
        <v>1036</v>
      </c>
      <c r="D109" s="474">
        <v>612.14</v>
      </c>
      <c r="E109" s="588">
        <v>134</v>
      </c>
      <c r="F109" s="586">
        <v>22</v>
      </c>
      <c r="G109" s="586">
        <v>8</v>
      </c>
      <c r="H109" s="586">
        <v>3</v>
      </c>
      <c r="I109" s="586">
        <v>20</v>
      </c>
      <c r="J109" s="586">
        <v>0</v>
      </c>
      <c r="K109" s="589">
        <v>441</v>
      </c>
      <c r="L109" s="91"/>
      <c r="M109" s="91"/>
      <c r="N109" s="91"/>
      <c r="O109" s="91"/>
      <c r="P109" s="91"/>
      <c r="Q109" s="91"/>
      <c r="R109" s="91"/>
      <c r="S109" s="91"/>
      <c r="T109" s="91"/>
      <c r="U109" s="91"/>
      <c r="V109" s="91"/>
      <c r="W109" s="91"/>
    </row>
    <row r="110" spans="2:23" ht="14.4" outlineLevel="1" x14ac:dyDescent="0.3">
      <c r="B110" s="425">
        <f t="shared" si="2"/>
        <v>10</v>
      </c>
      <c r="C110" s="95" t="s">
        <v>190</v>
      </c>
      <c r="D110" s="474">
        <v>1181.23</v>
      </c>
      <c r="E110" s="588">
        <v>170</v>
      </c>
      <c r="F110" s="586">
        <v>6</v>
      </c>
      <c r="G110" s="586">
        <v>3</v>
      </c>
      <c r="H110" s="586">
        <v>2</v>
      </c>
      <c r="I110" s="586">
        <v>5</v>
      </c>
      <c r="J110" s="586">
        <v>1239</v>
      </c>
      <c r="K110" s="586">
        <v>0</v>
      </c>
      <c r="L110" s="91"/>
      <c r="M110" s="91"/>
      <c r="N110" s="91"/>
      <c r="O110" s="91"/>
      <c r="P110" s="91"/>
      <c r="Q110" s="91"/>
      <c r="R110" s="91"/>
      <c r="S110" s="91"/>
      <c r="T110" s="91"/>
      <c r="U110" s="91"/>
      <c r="V110" s="91"/>
      <c r="W110" s="91"/>
    </row>
    <row r="111" spans="2:23" ht="14.4" outlineLevel="1" x14ac:dyDescent="0.3">
      <c r="B111" s="425">
        <f t="shared" si="2"/>
        <v>11</v>
      </c>
      <c r="C111" s="95" t="s">
        <v>167</v>
      </c>
      <c r="D111" s="474">
        <v>240.52</v>
      </c>
      <c r="E111" s="588">
        <v>0</v>
      </c>
      <c r="F111" s="586">
        <v>0</v>
      </c>
      <c r="G111" s="586">
        <v>0</v>
      </c>
      <c r="H111" s="586">
        <v>0</v>
      </c>
      <c r="I111" s="586">
        <v>0</v>
      </c>
      <c r="J111" s="586">
        <v>213</v>
      </c>
      <c r="K111" s="586">
        <v>0</v>
      </c>
      <c r="L111" s="91"/>
      <c r="M111" s="91"/>
      <c r="N111" s="91"/>
      <c r="O111" s="91"/>
      <c r="P111" s="91"/>
      <c r="Q111" s="91"/>
      <c r="R111" s="91"/>
      <c r="S111" s="91"/>
      <c r="T111" s="91"/>
      <c r="U111" s="91"/>
      <c r="V111" s="91"/>
      <c r="W111" s="91"/>
    </row>
    <row r="112" spans="2:23" ht="14.4" outlineLevel="1" x14ac:dyDescent="0.3">
      <c r="B112" s="425">
        <f t="shared" si="2"/>
        <v>12</v>
      </c>
      <c r="C112" s="513" t="s">
        <v>170</v>
      </c>
      <c r="D112" s="474">
        <v>257.76</v>
      </c>
      <c r="E112" s="588">
        <v>0</v>
      </c>
      <c r="F112" s="586">
        <v>0</v>
      </c>
      <c r="G112" s="586">
        <v>0</v>
      </c>
      <c r="H112" s="586">
        <v>0</v>
      </c>
      <c r="I112" s="586">
        <v>0</v>
      </c>
      <c r="J112" s="586">
        <v>210</v>
      </c>
      <c r="K112" s="586">
        <v>0</v>
      </c>
      <c r="L112" s="91"/>
      <c r="M112" s="91"/>
      <c r="N112" s="91"/>
      <c r="O112" s="91"/>
      <c r="P112" s="91"/>
      <c r="Q112" s="91"/>
      <c r="R112" s="91"/>
      <c r="S112" s="91"/>
      <c r="T112" s="91"/>
      <c r="U112" s="91"/>
      <c r="V112" s="91"/>
      <c r="W112" s="91"/>
    </row>
    <row r="113" spans="2:23" ht="14.4" outlineLevel="1" x14ac:dyDescent="0.3">
      <c r="B113" s="425">
        <f t="shared" si="2"/>
        <v>13</v>
      </c>
      <c r="C113" s="95" t="s">
        <v>174</v>
      </c>
      <c r="D113" s="474">
        <v>300.86</v>
      </c>
      <c r="E113" s="588">
        <v>0</v>
      </c>
      <c r="F113" s="586">
        <v>0</v>
      </c>
      <c r="G113" s="586">
        <v>0</v>
      </c>
      <c r="H113" s="586">
        <v>0</v>
      </c>
      <c r="I113" s="586">
        <v>0</v>
      </c>
      <c r="J113" s="586">
        <v>0</v>
      </c>
      <c r="K113" s="586">
        <v>268</v>
      </c>
      <c r="L113" s="91"/>
      <c r="M113" s="91"/>
      <c r="N113" s="91"/>
      <c r="O113" s="91"/>
      <c r="P113" s="91"/>
      <c r="Q113" s="91"/>
      <c r="R113" s="91"/>
      <c r="S113" s="91"/>
      <c r="T113" s="91"/>
      <c r="U113" s="91"/>
      <c r="V113" s="91"/>
      <c r="W113" s="91"/>
    </row>
    <row r="114" spans="2:23" ht="14.4" outlineLevel="1" x14ac:dyDescent="0.3">
      <c r="B114" s="425">
        <f t="shared" si="2"/>
        <v>14</v>
      </c>
      <c r="C114" s="95" t="s">
        <v>177</v>
      </c>
      <c r="D114" s="474">
        <v>343.97</v>
      </c>
      <c r="E114" s="588">
        <v>0</v>
      </c>
      <c r="F114" s="586">
        <v>0</v>
      </c>
      <c r="G114" s="586">
        <v>0</v>
      </c>
      <c r="H114" s="586">
        <v>0</v>
      </c>
      <c r="I114" s="586">
        <v>0</v>
      </c>
      <c r="J114" s="586">
        <v>0</v>
      </c>
      <c r="K114" s="586">
        <v>325</v>
      </c>
      <c r="L114" s="91"/>
      <c r="M114" s="91"/>
      <c r="N114" s="91"/>
      <c r="O114" s="91"/>
      <c r="P114" s="91"/>
      <c r="Q114" s="91"/>
      <c r="R114" s="91"/>
      <c r="S114" s="91"/>
      <c r="T114" s="91"/>
      <c r="U114" s="91"/>
      <c r="V114" s="91"/>
      <c r="W114" s="91"/>
    </row>
    <row r="115" spans="2:23" ht="14.4" outlineLevel="1" x14ac:dyDescent="0.3">
      <c r="B115" s="425">
        <f t="shared" si="2"/>
        <v>15</v>
      </c>
      <c r="C115" s="95" t="s">
        <v>180</v>
      </c>
      <c r="D115" s="474">
        <v>387.07</v>
      </c>
      <c r="E115" s="588">
        <v>0</v>
      </c>
      <c r="F115" s="586">
        <v>0</v>
      </c>
      <c r="G115" s="586">
        <v>0</v>
      </c>
      <c r="H115" s="586">
        <v>0</v>
      </c>
      <c r="I115" s="586">
        <v>0</v>
      </c>
      <c r="J115" s="586">
        <v>0</v>
      </c>
      <c r="K115" s="586">
        <v>368</v>
      </c>
      <c r="L115" s="91"/>
      <c r="M115" s="91"/>
      <c r="N115" s="91"/>
      <c r="O115" s="91"/>
      <c r="P115" s="91"/>
      <c r="Q115" s="91"/>
      <c r="R115" s="91"/>
      <c r="S115" s="91"/>
      <c r="T115" s="91"/>
      <c r="U115" s="91"/>
      <c r="V115" s="91"/>
      <c r="W115" s="91"/>
    </row>
    <row r="116" spans="2:23" ht="14.4" outlineLevel="1" x14ac:dyDescent="0.3">
      <c r="B116" s="425">
        <f t="shared" si="2"/>
        <v>16</v>
      </c>
      <c r="C116" s="95" t="s">
        <v>1037</v>
      </c>
      <c r="D116" s="474">
        <v>430.17</v>
      </c>
      <c r="E116" s="588">
        <v>0</v>
      </c>
      <c r="F116" s="586">
        <v>0</v>
      </c>
      <c r="G116" s="586">
        <v>0</v>
      </c>
      <c r="H116" s="586">
        <v>0</v>
      </c>
      <c r="I116" s="586">
        <v>0</v>
      </c>
      <c r="J116" s="586">
        <v>0</v>
      </c>
      <c r="K116" s="586">
        <v>463</v>
      </c>
      <c r="L116" s="91"/>
      <c r="M116" s="91"/>
      <c r="N116" s="91"/>
      <c r="O116" s="91"/>
      <c r="P116" s="91"/>
      <c r="Q116" s="91"/>
      <c r="R116" s="91"/>
      <c r="S116" s="91"/>
      <c r="T116" s="91"/>
      <c r="U116" s="91"/>
      <c r="V116" s="91"/>
      <c r="W116" s="91"/>
    </row>
    <row r="117" spans="2:23" ht="14.4" outlineLevel="1" x14ac:dyDescent="0.3">
      <c r="B117" s="425">
        <f t="shared" si="2"/>
        <v>17</v>
      </c>
      <c r="C117" s="95" t="s">
        <v>182</v>
      </c>
      <c r="D117" s="474">
        <v>473.28</v>
      </c>
      <c r="E117" s="588">
        <v>0</v>
      </c>
      <c r="F117" s="586">
        <v>0</v>
      </c>
      <c r="G117" s="586">
        <v>0</v>
      </c>
      <c r="H117" s="586">
        <v>0</v>
      </c>
      <c r="I117" s="586">
        <v>0</v>
      </c>
      <c r="J117" s="586">
        <v>0</v>
      </c>
      <c r="K117" s="586">
        <v>524</v>
      </c>
      <c r="L117" s="91"/>
      <c r="M117" s="91"/>
      <c r="N117" s="91"/>
      <c r="O117" s="91"/>
      <c r="P117" s="91"/>
      <c r="Q117" s="91"/>
      <c r="R117" s="91"/>
      <c r="S117" s="91"/>
      <c r="T117" s="91"/>
      <c r="U117" s="91"/>
      <c r="V117" s="91"/>
      <c r="W117" s="91"/>
    </row>
    <row r="118" spans="2:23" ht="14.4" outlineLevel="1" x14ac:dyDescent="0.3">
      <c r="B118" s="425">
        <f t="shared" si="2"/>
        <v>18</v>
      </c>
      <c r="C118" s="95" t="s">
        <v>1038</v>
      </c>
      <c r="D118" s="474">
        <v>559.48</v>
      </c>
      <c r="E118" s="588">
        <v>0</v>
      </c>
      <c r="F118" s="586">
        <v>0</v>
      </c>
      <c r="G118" s="586">
        <v>0</v>
      </c>
      <c r="H118" s="586">
        <v>0</v>
      </c>
      <c r="I118" s="586">
        <v>0</v>
      </c>
      <c r="J118" s="586">
        <v>0</v>
      </c>
      <c r="K118" s="586">
        <v>602</v>
      </c>
      <c r="L118" s="91"/>
      <c r="M118" s="91"/>
      <c r="N118" s="91"/>
      <c r="O118" s="91"/>
      <c r="P118" s="91"/>
      <c r="Q118" s="91"/>
      <c r="R118" s="91"/>
      <c r="S118" s="91"/>
      <c r="T118" s="91"/>
      <c r="U118" s="91"/>
      <c r="V118" s="91"/>
      <c r="W118" s="91"/>
    </row>
    <row r="119" spans="2:23" ht="14.4" outlineLevel="1" x14ac:dyDescent="0.3">
      <c r="B119" s="425">
        <f t="shared" si="2"/>
        <v>19</v>
      </c>
      <c r="C119" s="95" t="s">
        <v>184</v>
      </c>
      <c r="D119" s="474">
        <v>775</v>
      </c>
      <c r="E119" s="588">
        <v>0</v>
      </c>
      <c r="F119" s="586">
        <v>0</v>
      </c>
      <c r="G119" s="586">
        <v>0</v>
      </c>
      <c r="H119" s="586">
        <v>0</v>
      </c>
      <c r="I119" s="586">
        <v>0</v>
      </c>
      <c r="J119" s="586">
        <v>808</v>
      </c>
      <c r="K119" s="586">
        <v>0</v>
      </c>
      <c r="L119" s="91"/>
      <c r="M119" s="91"/>
      <c r="N119" s="91"/>
      <c r="O119" s="91"/>
      <c r="P119" s="91"/>
      <c r="Q119" s="91"/>
      <c r="R119" s="91"/>
      <c r="S119" s="91"/>
      <c r="T119" s="91"/>
      <c r="U119" s="91"/>
      <c r="V119" s="91"/>
      <c r="W119" s="91"/>
    </row>
    <row r="120" spans="2:23" ht="14.4" outlineLevel="1" x14ac:dyDescent="0.3">
      <c r="B120" s="425">
        <f t="shared" si="2"/>
        <v>20</v>
      </c>
      <c r="C120" s="95" t="s">
        <v>194</v>
      </c>
      <c r="D120" s="474">
        <v>336.9</v>
      </c>
      <c r="E120" s="588">
        <v>233</v>
      </c>
      <c r="F120" s="586">
        <v>13</v>
      </c>
      <c r="G120" s="586">
        <v>1</v>
      </c>
      <c r="H120" s="586">
        <v>1</v>
      </c>
      <c r="I120" s="586">
        <v>10</v>
      </c>
      <c r="J120" s="586">
        <v>0</v>
      </c>
      <c r="K120" s="586">
        <v>130</v>
      </c>
      <c r="L120" s="91"/>
      <c r="M120" s="91"/>
      <c r="N120" s="91"/>
      <c r="O120" s="91"/>
      <c r="P120" s="91"/>
      <c r="Q120" s="91"/>
      <c r="R120" s="91"/>
      <c r="S120" s="91"/>
      <c r="T120" s="91"/>
      <c r="U120" s="91"/>
      <c r="V120" s="91"/>
      <c r="W120" s="91"/>
    </row>
    <row r="121" spans="2:23" ht="14.4" outlineLevel="1" x14ac:dyDescent="0.3">
      <c r="B121" s="425">
        <f t="shared" si="2"/>
        <v>21</v>
      </c>
      <c r="C121" s="95" t="s">
        <v>196</v>
      </c>
      <c r="D121" s="474">
        <v>463.55</v>
      </c>
      <c r="E121" s="588">
        <v>239</v>
      </c>
      <c r="F121" s="586">
        <v>23</v>
      </c>
      <c r="G121" s="586">
        <v>1</v>
      </c>
      <c r="H121" s="586">
        <v>1</v>
      </c>
      <c r="I121" s="586">
        <v>10</v>
      </c>
      <c r="J121" s="586">
        <v>0</v>
      </c>
      <c r="K121" s="586">
        <v>192</v>
      </c>
      <c r="L121" s="91"/>
      <c r="M121" s="91"/>
      <c r="N121" s="91"/>
      <c r="O121" s="91"/>
      <c r="P121" s="91"/>
      <c r="Q121" s="91"/>
      <c r="R121" s="91"/>
      <c r="S121" s="91"/>
      <c r="T121" s="91"/>
      <c r="U121" s="91"/>
      <c r="V121" s="91"/>
      <c r="W121" s="91"/>
    </row>
    <row r="122" spans="2:23" ht="14.4" outlineLevel="1" x14ac:dyDescent="0.3">
      <c r="B122" s="425">
        <f t="shared" si="2"/>
        <v>22</v>
      </c>
      <c r="C122" s="95" t="s">
        <v>198</v>
      </c>
      <c r="D122" s="474">
        <v>547.98</v>
      </c>
      <c r="E122" s="588">
        <v>145</v>
      </c>
      <c r="F122" s="586">
        <v>24</v>
      </c>
      <c r="G122" s="586">
        <v>8</v>
      </c>
      <c r="H122" s="586">
        <v>3</v>
      </c>
      <c r="I122" s="586">
        <v>17</v>
      </c>
      <c r="J122" s="586">
        <v>0</v>
      </c>
      <c r="K122" s="586">
        <v>336</v>
      </c>
      <c r="L122" s="91"/>
      <c r="M122" s="91"/>
      <c r="N122" s="91"/>
      <c r="O122" s="91"/>
      <c r="P122" s="91"/>
      <c r="Q122" s="91"/>
      <c r="R122" s="91"/>
      <c r="S122" s="91"/>
      <c r="T122" s="91"/>
      <c r="U122" s="91"/>
      <c r="V122" s="91"/>
      <c r="W122" s="91"/>
    </row>
    <row r="123" spans="2:23" ht="14.4" outlineLevel="1" x14ac:dyDescent="0.3">
      <c r="B123" s="425">
        <f t="shared" si="2"/>
        <v>23</v>
      </c>
      <c r="C123" s="95" t="s">
        <v>200</v>
      </c>
      <c r="D123" s="474">
        <v>674.64</v>
      </c>
      <c r="E123" s="588">
        <v>151</v>
      </c>
      <c r="F123" s="586">
        <v>34</v>
      </c>
      <c r="G123" s="586">
        <v>1</v>
      </c>
      <c r="H123" s="586">
        <v>1</v>
      </c>
      <c r="I123" s="586">
        <v>13</v>
      </c>
      <c r="J123" s="586">
        <v>0</v>
      </c>
      <c r="K123" s="586">
        <v>512</v>
      </c>
      <c r="L123" s="91"/>
      <c r="M123" s="91"/>
      <c r="N123" s="91"/>
      <c r="O123" s="91"/>
      <c r="P123" s="91"/>
      <c r="Q123" s="91"/>
      <c r="R123" s="91"/>
      <c r="S123" s="91"/>
      <c r="T123" s="91"/>
      <c r="U123" s="91"/>
      <c r="V123" s="91"/>
      <c r="W123" s="91"/>
    </row>
    <row r="124" spans="2:23" ht="14.4" outlineLevel="1" x14ac:dyDescent="0.3">
      <c r="B124" s="425">
        <f t="shared" si="2"/>
        <v>24</v>
      </c>
      <c r="C124" s="95" t="s">
        <v>202</v>
      </c>
      <c r="D124" s="474">
        <v>843.5</v>
      </c>
      <c r="E124" s="588">
        <v>155</v>
      </c>
      <c r="F124" s="586">
        <v>12</v>
      </c>
      <c r="G124" s="586">
        <v>7</v>
      </c>
      <c r="H124" s="586">
        <v>2</v>
      </c>
      <c r="I124" s="586">
        <v>10</v>
      </c>
      <c r="J124" s="586">
        <v>640</v>
      </c>
      <c r="K124" s="586">
        <v>0</v>
      </c>
      <c r="L124" s="91"/>
      <c r="M124" s="91"/>
      <c r="N124" s="91"/>
      <c r="O124" s="91"/>
      <c r="P124" s="91"/>
      <c r="Q124" s="91"/>
      <c r="R124" s="91"/>
      <c r="S124" s="91"/>
      <c r="T124" s="91"/>
      <c r="U124" s="91"/>
      <c r="V124" s="91"/>
      <c r="W124" s="91"/>
    </row>
    <row r="125" spans="2:23" ht="14.4" outlineLevel="1" x14ac:dyDescent="0.3">
      <c r="B125" s="425">
        <f t="shared" si="2"/>
        <v>25</v>
      </c>
      <c r="C125" s="95" t="s">
        <v>203</v>
      </c>
      <c r="D125" s="474">
        <v>1265.6600000000001</v>
      </c>
      <c r="E125" s="588">
        <v>151</v>
      </c>
      <c r="F125" s="586">
        <v>54</v>
      </c>
      <c r="G125" s="586">
        <v>1</v>
      </c>
      <c r="H125" s="586">
        <v>1</v>
      </c>
      <c r="I125" s="586">
        <v>10</v>
      </c>
      <c r="J125" s="586">
        <v>1031</v>
      </c>
      <c r="K125" s="586">
        <v>0</v>
      </c>
      <c r="L125" s="91"/>
      <c r="M125" s="91"/>
      <c r="N125" s="91"/>
      <c r="O125" s="91"/>
      <c r="P125" s="91"/>
      <c r="Q125" s="91"/>
      <c r="R125" s="91"/>
      <c r="S125" s="91"/>
      <c r="T125" s="91"/>
      <c r="U125" s="91"/>
      <c r="V125" s="91"/>
      <c r="W125" s="91"/>
    </row>
    <row r="126" spans="2:23" ht="14.4" outlineLevel="1" x14ac:dyDescent="0.3">
      <c r="B126" s="425">
        <f t="shared" si="2"/>
        <v>26</v>
      </c>
      <c r="C126" s="95" t="s">
        <v>204</v>
      </c>
      <c r="D126" s="474">
        <v>1510.52</v>
      </c>
      <c r="E126" s="588">
        <v>245</v>
      </c>
      <c r="F126" s="586">
        <v>41</v>
      </c>
      <c r="G126" s="586">
        <v>1</v>
      </c>
      <c r="H126" s="586">
        <v>1</v>
      </c>
      <c r="I126" s="586">
        <v>10</v>
      </c>
      <c r="J126" s="586">
        <v>1253</v>
      </c>
      <c r="K126" s="586">
        <v>0</v>
      </c>
      <c r="L126" s="91"/>
      <c r="M126" s="91"/>
      <c r="N126" s="91"/>
      <c r="O126" s="91"/>
      <c r="P126" s="91"/>
      <c r="Q126" s="91"/>
      <c r="R126" s="91"/>
      <c r="S126" s="91"/>
      <c r="T126" s="91"/>
      <c r="U126" s="91"/>
      <c r="V126" s="91"/>
      <c r="W126" s="91"/>
    </row>
    <row r="127" spans="2:23" ht="14.4" outlineLevel="1" x14ac:dyDescent="0.3">
      <c r="B127" s="425">
        <f t="shared" si="2"/>
        <v>27</v>
      </c>
      <c r="C127" s="95" t="s">
        <v>205</v>
      </c>
      <c r="D127" s="474">
        <v>1932.69</v>
      </c>
      <c r="E127" s="588">
        <v>205</v>
      </c>
      <c r="F127" s="586">
        <v>44</v>
      </c>
      <c r="G127" s="586">
        <v>2</v>
      </c>
      <c r="H127" s="586">
        <v>2</v>
      </c>
      <c r="I127" s="586">
        <v>15</v>
      </c>
      <c r="J127" s="586">
        <v>1419</v>
      </c>
      <c r="K127" s="586">
        <v>0</v>
      </c>
      <c r="L127" s="91"/>
      <c r="M127" s="91"/>
      <c r="N127" s="91"/>
      <c r="O127" s="91"/>
      <c r="P127" s="91"/>
      <c r="Q127" s="91"/>
      <c r="R127" s="91"/>
      <c r="S127" s="91"/>
      <c r="T127" s="91"/>
      <c r="U127" s="91"/>
      <c r="V127" s="91"/>
      <c r="W127" s="91"/>
    </row>
    <row r="128" spans="2:23" ht="14.4" outlineLevel="1" x14ac:dyDescent="0.3">
      <c r="B128" s="425">
        <f t="shared" si="2"/>
        <v>28</v>
      </c>
      <c r="C128" s="513" t="s">
        <v>187</v>
      </c>
      <c r="D128" s="474">
        <v>257.76</v>
      </c>
      <c r="E128" s="588">
        <v>0</v>
      </c>
      <c r="F128" s="586">
        <v>0</v>
      </c>
      <c r="G128" s="586">
        <v>0</v>
      </c>
      <c r="H128" s="586">
        <v>0</v>
      </c>
      <c r="I128" s="586">
        <v>0</v>
      </c>
      <c r="J128" s="586">
        <v>253</v>
      </c>
      <c r="K128" s="586">
        <v>0</v>
      </c>
      <c r="L128" s="91"/>
      <c r="M128" s="91"/>
      <c r="N128" s="91"/>
      <c r="O128" s="91"/>
      <c r="P128" s="91"/>
      <c r="Q128" s="91"/>
      <c r="R128" s="91"/>
      <c r="S128" s="91"/>
      <c r="T128" s="91"/>
      <c r="U128" s="91"/>
      <c r="V128" s="91"/>
      <c r="W128" s="91"/>
    </row>
    <row r="129" spans="2:23" ht="14.4" outlineLevel="1" x14ac:dyDescent="0.3">
      <c r="B129" s="425">
        <f t="shared" si="2"/>
        <v>29</v>
      </c>
      <c r="C129" s="95" t="s">
        <v>189</v>
      </c>
      <c r="D129" s="474">
        <v>300.86</v>
      </c>
      <c r="E129" s="588">
        <v>0</v>
      </c>
      <c r="F129" s="586">
        <v>0</v>
      </c>
      <c r="G129" s="586">
        <v>0</v>
      </c>
      <c r="H129" s="586">
        <v>0</v>
      </c>
      <c r="I129" s="586">
        <v>0</v>
      </c>
      <c r="J129" s="586">
        <v>0</v>
      </c>
      <c r="K129" s="586">
        <v>229</v>
      </c>
      <c r="L129" s="91"/>
      <c r="M129" s="91"/>
      <c r="N129" s="91"/>
      <c r="O129" s="91"/>
      <c r="P129" s="91"/>
      <c r="Q129" s="91"/>
      <c r="R129" s="91"/>
      <c r="S129" s="91"/>
      <c r="T129" s="91"/>
      <c r="U129" s="91"/>
      <c r="V129" s="91"/>
      <c r="W129" s="91"/>
    </row>
    <row r="130" spans="2:23" ht="14.4" outlineLevel="1" x14ac:dyDescent="0.3">
      <c r="B130" s="425">
        <f t="shared" si="2"/>
        <v>30</v>
      </c>
      <c r="C130" s="95" t="s">
        <v>191</v>
      </c>
      <c r="D130" s="474">
        <v>343.97</v>
      </c>
      <c r="E130" s="588">
        <v>0</v>
      </c>
      <c r="F130" s="586">
        <v>0</v>
      </c>
      <c r="G130" s="586">
        <v>0</v>
      </c>
      <c r="H130" s="586">
        <v>0</v>
      </c>
      <c r="I130" s="586">
        <v>0</v>
      </c>
      <c r="J130" s="586">
        <v>0</v>
      </c>
      <c r="K130" s="586">
        <v>347</v>
      </c>
      <c r="L130" s="91"/>
      <c r="M130" s="91"/>
      <c r="N130" s="91"/>
      <c r="O130" s="91"/>
      <c r="P130" s="91"/>
      <c r="Q130" s="91"/>
      <c r="R130" s="91"/>
      <c r="S130" s="91"/>
      <c r="T130" s="91"/>
      <c r="U130" s="91"/>
      <c r="V130" s="91"/>
      <c r="W130" s="91"/>
    </row>
    <row r="131" spans="2:23" ht="14.4" outlineLevel="1" x14ac:dyDescent="0.3">
      <c r="B131" s="425">
        <f t="shared" si="2"/>
        <v>31</v>
      </c>
      <c r="C131" s="95" t="s">
        <v>192</v>
      </c>
      <c r="D131" s="474">
        <v>387.07</v>
      </c>
      <c r="E131" s="588">
        <v>0</v>
      </c>
      <c r="F131" s="586">
        <v>0</v>
      </c>
      <c r="G131" s="586">
        <v>0</v>
      </c>
      <c r="H131" s="586">
        <v>0</v>
      </c>
      <c r="I131" s="586">
        <v>0</v>
      </c>
      <c r="J131" s="586">
        <v>0</v>
      </c>
      <c r="K131" s="586">
        <v>438</v>
      </c>
      <c r="L131" s="91"/>
      <c r="M131" s="91"/>
      <c r="N131" s="91"/>
      <c r="O131" s="91"/>
      <c r="P131" s="91"/>
      <c r="Q131" s="91"/>
      <c r="R131" s="91"/>
      <c r="S131" s="91"/>
      <c r="T131" s="91"/>
      <c r="U131" s="91"/>
      <c r="V131" s="91"/>
      <c r="W131" s="91"/>
    </row>
    <row r="132" spans="2:23" ht="14.4" outlineLevel="1" x14ac:dyDescent="0.3">
      <c r="B132" s="425">
        <f t="shared" si="2"/>
        <v>32</v>
      </c>
      <c r="C132" s="95" t="s">
        <v>1040</v>
      </c>
      <c r="D132" s="474">
        <v>430.17</v>
      </c>
      <c r="E132" s="588">
        <v>0</v>
      </c>
      <c r="F132" s="586">
        <v>0</v>
      </c>
      <c r="G132" s="586">
        <v>0</v>
      </c>
      <c r="H132" s="586">
        <v>0</v>
      </c>
      <c r="I132" s="586">
        <v>0</v>
      </c>
      <c r="J132" s="586">
        <v>0</v>
      </c>
      <c r="K132" s="586">
        <v>435</v>
      </c>
      <c r="L132" s="91"/>
      <c r="M132" s="91"/>
      <c r="N132" s="91"/>
      <c r="O132" s="91"/>
      <c r="P132" s="91"/>
      <c r="Q132" s="91"/>
      <c r="R132" s="91"/>
      <c r="S132" s="91"/>
      <c r="T132" s="91"/>
      <c r="U132" s="91"/>
      <c r="V132" s="91"/>
      <c r="W132" s="91"/>
    </row>
    <row r="133" spans="2:23" ht="14.4" outlineLevel="1" x14ac:dyDescent="0.3">
      <c r="B133" s="425">
        <f t="shared" si="2"/>
        <v>33</v>
      </c>
      <c r="C133" s="95" t="s">
        <v>193</v>
      </c>
      <c r="D133" s="474">
        <v>473.28</v>
      </c>
      <c r="E133" s="588">
        <v>0</v>
      </c>
      <c r="F133" s="586">
        <v>0</v>
      </c>
      <c r="G133" s="586">
        <v>0</v>
      </c>
      <c r="H133" s="586">
        <v>0</v>
      </c>
      <c r="I133" s="586">
        <v>0</v>
      </c>
      <c r="J133" s="586">
        <v>0</v>
      </c>
      <c r="K133" s="586">
        <v>365</v>
      </c>
      <c r="L133" s="91"/>
      <c r="M133" s="91"/>
      <c r="N133" s="91"/>
      <c r="O133" s="91"/>
      <c r="P133" s="91"/>
      <c r="Q133" s="91"/>
      <c r="R133" s="91"/>
      <c r="S133" s="91"/>
      <c r="T133" s="91"/>
      <c r="U133" s="91"/>
      <c r="V133" s="91"/>
      <c r="W133" s="91"/>
    </row>
    <row r="134" spans="2:23" ht="14.4" outlineLevel="1" x14ac:dyDescent="0.3">
      <c r="B134" s="425">
        <f t="shared" si="2"/>
        <v>34</v>
      </c>
      <c r="C134" s="95" t="s">
        <v>1041</v>
      </c>
      <c r="D134" s="474">
        <v>559.48</v>
      </c>
      <c r="E134" s="588">
        <v>0</v>
      </c>
      <c r="F134" s="586">
        <v>0</v>
      </c>
      <c r="G134" s="586">
        <v>0</v>
      </c>
      <c r="H134" s="586">
        <v>0</v>
      </c>
      <c r="I134" s="586">
        <v>0</v>
      </c>
      <c r="J134" s="586">
        <v>0</v>
      </c>
      <c r="K134" s="586">
        <v>439</v>
      </c>
      <c r="L134" s="91"/>
      <c r="M134" s="91"/>
      <c r="N134" s="91"/>
      <c r="O134" s="91"/>
      <c r="P134" s="91"/>
      <c r="Q134" s="91"/>
      <c r="R134" s="91"/>
      <c r="S134" s="91"/>
      <c r="T134" s="91"/>
      <c r="U134" s="91"/>
      <c r="V134" s="91"/>
      <c r="W134" s="91"/>
    </row>
    <row r="135" spans="2:23" ht="14.4" outlineLevel="1" x14ac:dyDescent="0.3">
      <c r="B135" s="425">
        <f t="shared" si="2"/>
        <v>35</v>
      </c>
      <c r="C135" s="95" t="s">
        <v>195</v>
      </c>
      <c r="D135" s="474">
        <v>775</v>
      </c>
      <c r="E135" s="588">
        <v>0</v>
      </c>
      <c r="F135" s="586">
        <v>0</v>
      </c>
      <c r="G135" s="586">
        <v>0</v>
      </c>
      <c r="H135" s="586">
        <v>0</v>
      </c>
      <c r="I135" s="586">
        <v>0</v>
      </c>
      <c r="J135" s="586">
        <v>669</v>
      </c>
      <c r="K135" s="586">
        <v>0</v>
      </c>
      <c r="L135" s="91"/>
      <c r="M135" s="91"/>
      <c r="N135" s="91"/>
      <c r="O135" s="91"/>
      <c r="P135" s="91"/>
      <c r="Q135" s="91"/>
      <c r="R135" s="91"/>
      <c r="S135" s="91"/>
      <c r="T135" s="91"/>
      <c r="U135" s="91"/>
      <c r="V135" s="91"/>
      <c r="W135" s="91"/>
    </row>
    <row r="136" spans="2:23" ht="14.4" outlineLevel="1" x14ac:dyDescent="0.3">
      <c r="B136" s="425">
        <f t="shared" si="2"/>
        <v>36</v>
      </c>
      <c r="C136" s="95" t="s">
        <v>197</v>
      </c>
      <c r="D136" s="474">
        <v>349</v>
      </c>
      <c r="E136" s="588">
        <v>0</v>
      </c>
      <c r="F136" s="586">
        <v>0</v>
      </c>
      <c r="G136" s="586">
        <v>0</v>
      </c>
      <c r="H136" s="586">
        <v>0</v>
      </c>
      <c r="I136" s="586">
        <v>0</v>
      </c>
      <c r="J136" s="586">
        <v>391</v>
      </c>
      <c r="K136" s="586">
        <v>0</v>
      </c>
      <c r="L136" s="91"/>
      <c r="M136" s="91"/>
      <c r="N136" s="91"/>
      <c r="O136" s="91"/>
      <c r="P136" s="91"/>
      <c r="Q136" s="91"/>
      <c r="R136" s="91"/>
      <c r="S136" s="91"/>
      <c r="T136" s="91"/>
      <c r="U136" s="91"/>
      <c r="V136" s="91"/>
      <c r="W136" s="91"/>
    </row>
    <row r="137" spans="2:23" ht="14.4" outlineLevel="1" x14ac:dyDescent="0.3">
      <c r="B137" s="425">
        <f t="shared" si="2"/>
        <v>37</v>
      </c>
      <c r="C137" s="95" t="s">
        <v>199</v>
      </c>
      <c r="D137" s="474">
        <v>608.69000000000005</v>
      </c>
      <c r="E137" s="588">
        <v>0</v>
      </c>
      <c r="F137" s="586">
        <v>0</v>
      </c>
      <c r="G137" s="586">
        <v>0</v>
      </c>
      <c r="H137" s="586">
        <v>0</v>
      </c>
      <c r="I137" s="586">
        <v>0</v>
      </c>
      <c r="J137" s="586">
        <v>627</v>
      </c>
      <c r="K137" s="586">
        <v>0</v>
      </c>
      <c r="L137" s="91"/>
      <c r="M137" s="91"/>
      <c r="N137" s="91"/>
      <c r="O137" s="91"/>
      <c r="P137" s="91"/>
      <c r="Q137" s="91"/>
      <c r="R137" s="91"/>
      <c r="S137" s="91"/>
      <c r="T137" s="91"/>
      <c r="U137" s="91"/>
      <c r="V137" s="91"/>
      <c r="W137" s="91"/>
    </row>
    <row r="138" spans="2:23" ht="14.4" outlineLevel="1" x14ac:dyDescent="0.3">
      <c r="B138" s="425">
        <f t="shared" si="2"/>
        <v>38</v>
      </c>
      <c r="C138" s="95" t="s">
        <v>201</v>
      </c>
      <c r="D138" s="474">
        <v>1042.5999999999999</v>
      </c>
      <c r="E138" s="588">
        <v>0</v>
      </c>
      <c r="F138" s="586">
        <v>0</v>
      </c>
      <c r="G138" s="586">
        <v>0</v>
      </c>
      <c r="H138" s="586">
        <v>0</v>
      </c>
      <c r="I138" s="586">
        <v>0</v>
      </c>
      <c r="J138" s="586">
        <v>915</v>
      </c>
      <c r="K138" s="586">
        <v>0</v>
      </c>
      <c r="L138" s="91"/>
      <c r="M138" s="91"/>
      <c r="N138" s="91"/>
      <c r="O138" s="91"/>
      <c r="P138" s="91"/>
      <c r="Q138" s="91"/>
      <c r="R138" s="91"/>
      <c r="S138" s="91"/>
      <c r="T138" s="91"/>
      <c r="U138" s="91"/>
      <c r="V138" s="91"/>
      <c r="W138" s="91"/>
    </row>
    <row r="139" spans="2:23" ht="14.4" outlineLevel="1" x14ac:dyDescent="0.3">
      <c r="B139" s="425">
        <f t="shared" si="2"/>
        <v>39</v>
      </c>
      <c r="C139" s="95" t="s">
        <v>494</v>
      </c>
      <c r="D139" s="474">
        <v>509.31</v>
      </c>
      <c r="E139" s="588">
        <v>0</v>
      </c>
      <c r="F139" s="586">
        <v>0</v>
      </c>
      <c r="G139" s="586">
        <v>0</v>
      </c>
      <c r="H139" s="586">
        <v>0</v>
      </c>
      <c r="I139" s="586">
        <v>0</v>
      </c>
      <c r="J139" s="586">
        <v>629</v>
      </c>
      <c r="K139" s="586">
        <v>0</v>
      </c>
      <c r="L139" s="91"/>
      <c r="M139" s="91"/>
      <c r="N139" s="91"/>
      <c r="O139" s="91"/>
      <c r="P139" s="91"/>
      <c r="Q139" s="91"/>
      <c r="R139" s="91"/>
      <c r="S139" s="91"/>
      <c r="T139" s="91"/>
      <c r="U139" s="91"/>
      <c r="V139" s="91"/>
      <c r="W139" s="91"/>
    </row>
    <row r="140" spans="2:23" ht="14.4" outlineLevel="1" x14ac:dyDescent="0.3">
      <c r="B140" s="425">
        <f t="shared" si="2"/>
        <v>40</v>
      </c>
      <c r="C140" s="95" t="s">
        <v>496</v>
      </c>
      <c r="D140" s="474">
        <v>679.07</v>
      </c>
      <c r="E140" s="588">
        <v>0</v>
      </c>
      <c r="F140" s="586">
        <v>0</v>
      </c>
      <c r="G140" s="586">
        <v>0</v>
      </c>
      <c r="H140" s="586">
        <v>0</v>
      </c>
      <c r="I140" s="586">
        <v>0</v>
      </c>
      <c r="J140" s="586">
        <v>872</v>
      </c>
      <c r="K140" s="586">
        <v>0</v>
      </c>
      <c r="L140" s="91"/>
      <c r="M140" s="91"/>
      <c r="N140" s="91"/>
      <c r="O140" s="91"/>
      <c r="P140" s="91"/>
      <c r="Q140" s="91"/>
      <c r="R140" s="91"/>
      <c r="S140" s="91"/>
      <c r="T140" s="91"/>
      <c r="U140" s="91"/>
      <c r="V140" s="91"/>
      <c r="W140" s="91"/>
    </row>
    <row r="141" spans="2:23" ht="14.4" outlineLevel="1" x14ac:dyDescent="0.3">
      <c r="B141" s="425">
        <f t="shared" si="2"/>
        <v>41</v>
      </c>
      <c r="C141" s="95" t="s">
        <v>498</v>
      </c>
      <c r="D141" s="474">
        <v>933.26</v>
      </c>
      <c r="E141" s="588">
        <v>0</v>
      </c>
      <c r="F141" s="586">
        <v>0</v>
      </c>
      <c r="G141" s="586">
        <v>0</v>
      </c>
      <c r="H141" s="586">
        <v>0</v>
      </c>
      <c r="I141" s="586">
        <v>0</v>
      </c>
      <c r="J141" s="586">
        <v>662</v>
      </c>
      <c r="K141" s="586">
        <v>0</v>
      </c>
      <c r="L141" s="91"/>
      <c r="M141" s="91"/>
      <c r="N141" s="91"/>
      <c r="O141" s="91"/>
      <c r="P141" s="91"/>
      <c r="Q141" s="91"/>
      <c r="R141" s="91"/>
      <c r="S141" s="91"/>
      <c r="T141" s="91"/>
      <c r="U141" s="91"/>
      <c r="V141" s="91"/>
      <c r="W141" s="91"/>
    </row>
    <row r="142" spans="2:23" ht="14.4" outlineLevel="1" x14ac:dyDescent="0.3">
      <c r="B142" s="425">
        <f t="shared" si="2"/>
        <v>42</v>
      </c>
      <c r="C142" s="95" t="s">
        <v>500</v>
      </c>
      <c r="D142" s="474">
        <v>1610.49</v>
      </c>
      <c r="E142" s="588">
        <v>0</v>
      </c>
      <c r="F142" s="586">
        <v>0</v>
      </c>
      <c r="G142" s="586">
        <v>0</v>
      </c>
      <c r="H142" s="586">
        <v>0</v>
      </c>
      <c r="I142" s="586">
        <v>0</v>
      </c>
      <c r="J142" s="586">
        <v>1235</v>
      </c>
      <c r="K142" s="586">
        <v>0</v>
      </c>
      <c r="L142" s="91"/>
      <c r="M142" s="91"/>
      <c r="N142" s="91"/>
      <c r="O142" s="91"/>
      <c r="P142" s="91"/>
      <c r="Q142" s="91"/>
      <c r="R142" s="91"/>
      <c r="S142" s="91"/>
      <c r="T142" s="91"/>
      <c r="U142" s="91"/>
      <c r="V142" s="91"/>
      <c r="W142" s="91"/>
    </row>
    <row r="143" spans="2:23" ht="14.4" outlineLevel="1" x14ac:dyDescent="0.3">
      <c r="B143" s="425">
        <f t="shared" si="2"/>
        <v>43</v>
      </c>
      <c r="C143" s="95" t="s">
        <v>502</v>
      </c>
      <c r="D143" s="474">
        <v>1898.45</v>
      </c>
      <c r="E143" s="588">
        <v>0</v>
      </c>
      <c r="F143" s="586">
        <v>0</v>
      </c>
      <c r="G143" s="586">
        <v>0</v>
      </c>
      <c r="H143" s="586">
        <v>0</v>
      </c>
      <c r="I143" s="586">
        <v>0</v>
      </c>
      <c r="J143" s="586">
        <v>2239</v>
      </c>
      <c r="K143" s="586">
        <v>0</v>
      </c>
      <c r="L143" s="91"/>
      <c r="M143" s="91"/>
      <c r="N143" s="91"/>
      <c r="O143" s="91"/>
      <c r="P143" s="91"/>
      <c r="Q143" s="91"/>
      <c r="R143" s="91"/>
      <c r="S143" s="91"/>
      <c r="T143" s="91"/>
      <c r="U143" s="91"/>
      <c r="V143" s="91"/>
      <c r="W143" s="91"/>
    </row>
    <row r="144" spans="2:23" ht="14.4" outlineLevel="1" x14ac:dyDescent="0.3">
      <c r="B144" s="425">
        <f t="shared" si="2"/>
        <v>44</v>
      </c>
      <c r="C144" s="95" t="s">
        <v>504</v>
      </c>
      <c r="D144" s="474">
        <v>2363.7200000000003</v>
      </c>
      <c r="E144" s="588">
        <v>0</v>
      </c>
      <c r="F144" s="586">
        <v>0</v>
      </c>
      <c r="G144" s="586">
        <v>0</v>
      </c>
      <c r="H144" s="586">
        <v>0</v>
      </c>
      <c r="I144" s="586">
        <v>0</v>
      </c>
      <c r="J144" s="586">
        <v>2390</v>
      </c>
      <c r="K144" s="586">
        <v>0</v>
      </c>
      <c r="L144" s="91"/>
      <c r="M144" s="91"/>
      <c r="N144" s="91"/>
      <c r="O144" s="91"/>
      <c r="P144" s="91"/>
      <c r="Q144" s="91"/>
      <c r="R144" s="91"/>
      <c r="S144" s="91"/>
      <c r="T144" s="91"/>
      <c r="U144" s="91"/>
      <c r="V144" s="91"/>
      <c r="W144" s="91"/>
    </row>
    <row r="145" spans="2:23" ht="14.4" hidden="1" outlineLevel="1" x14ac:dyDescent="0.3">
      <c r="B145" s="425">
        <f t="shared" si="2"/>
        <v>45</v>
      </c>
      <c r="C145" s="95" t="s">
        <v>456</v>
      </c>
      <c r="D145" s="474"/>
      <c r="E145" s="474"/>
      <c r="F145" s="91"/>
      <c r="G145" s="91"/>
      <c r="H145" s="91"/>
      <c r="I145" s="91"/>
      <c r="J145" s="91"/>
      <c r="K145" s="91"/>
      <c r="L145" s="91"/>
      <c r="M145" s="91"/>
      <c r="N145" s="91"/>
      <c r="O145" s="91"/>
      <c r="P145" s="91"/>
      <c r="Q145" s="91"/>
      <c r="R145" s="91"/>
      <c r="S145" s="91"/>
      <c r="T145" s="91"/>
      <c r="U145" s="91"/>
      <c r="V145" s="91"/>
      <c r="W145" s="91"/>
    </row>
    <row r="146" spans="2:23" ht="14.4" hidden="1" outlineLevel="1" x14ac:dyDescent="0.3">
      <c r="B146" s="425">
        <f t="shared" si="2"/>
        <v>46</v>
      </c>
      <c r="C146" s="95" t="s">
        <v>456</v>
      </c>
      <c r="D146" s="474"/>
      <c r="E146" s="474"/>
      <c r="F146" s="91"/>
      <c r="G146" s="91"/>
      <c r="H146" s="91"/>
      <c r="I146" s="91"/>
      <c r="J146" s="91"/>
      <c r="K146" s="91"/>
      <c r="L146" s="91"/>
      <c r="M146" s="91"/>
      <c r="N146" s="91"/>
      <c r="O146" s="91"/>
      <c r="P146" s="91"/>
      <c r="Q146" s="91"/>
      <c r="R146" s="91"/>
      <c r="S146" s="91"/>
      <c r="T146" s="91"/>
      <c r="U146" s="91"/>
      <c r="V146" s="91"/>
      <c r="W146" s="91"/>
    </row>
    <row r="147" spans="2:23" ht="14.4" hidden="1" outlineLevel="1" x14ac:dyDescent="0.3">
      <c r="B147" s="425">
        <f t="shared" si="2"/>
        <v>47</v>
      </c>
      <c r="C147" s="95" t="s">
        <v>456</v>
      </c>
      <c r="D147" s="474"/>
      <c r="E147" s="474"/>
      <c r="F147" s="91"/>
      <c r="G147" s="91"/>
      <c r="H147" s="91"/>
      <c r="I147" s="91"/>
      <c r="J147" s="91"/>
      <c r="K147" s="91"/>
      <c r="L147" s="91"/>
      <c r="M147" s="91"/>
      <c r="N147" s="91"/>
      <c r="O147" s="91"/>
      <c r="P147" s="91"/>
      <c r="Q147" s="91"/>
      <c r="R147" s="91"/>
      <c r="S147" s="91"/>
      <c r="T147" s="91"/>
      <c r="U147" s="91"/>
      <c r="V147" s="91"/>
      <c r="W147" s="91"/>
    </row>
    <row r="148" spans="2:23" ht="14.4" hidden="1" outlineLevel="1" x14ac:dyDescent="0.3">
      <c r="B148" s="425">
        <f t="shared" si="2"/>
        <v>48</v>
      </c>
      <c r="C148" s="95" t="s">
        <v>456</v>
      </c>
      <c r="D148" s="474"/>
      <c r="E148" s="474"/>
      <c r="F148" s="91"/>
      <c r="G148" s="91"/>
      <c r="H148" s="91"/>
      <c r="I148" s="91"/>
      <c r="J148" s="91"/>
      <c r="K148" s="91"/>
      <c r="L148" s="91"/>
      <c r="M148" s="91"/>
      <c r="N148" s="91"/>
      <c r="O148" s="91"/>
      <c r="P148" s="91"/>
      <c r="Q148" s="91"/>
      <c r="R148" s="91"/>
      <c r="S148" s="91"/>
      <c r="T148" s="91"/>
      <c r="U148" s="91"/>
      <c r="V148" s="91"/>
      <c r="W148" s="91"/>
    </row>
    <row r="149" spans="2:23" ht="14.4" hidden="1" outlineLevel="1" x14ac:dyDescent="0.3">
      <c r="B149" s="425">
        <f t="shared" si="2"/>
        <v>49</v>
      </c>
      <c r="C149" s="95" t="s">
        <v>456</v>
      </c>
      <c r="D149" s="474"/>
      <c r="E149" s="474"/>
      <c r="F149" s="91"/>
      <c r="G149" s="91"/>
      <c r="H149" s="91"/>
      <c r="I149" s="91"/>
      <c r="J149" s="91"/>
      <c r="K149" s="91"/>
      <c r="L149" s="91"/>
      <c r="M149" s="91"/>
      <c r="N149" s="91"/>
      <c r="O149" s="91"/>
      <c r="P149" s="91"/>
      <c r="Q149" s="91"/>
      <c r="R149" s="91"/>
      <c r="S149" s="91"/>
      <c r="T149" s="91"/>
      <c r="U149" s="91"/>
      <c r="V149" s="91"/>
      <c r="W149" s="91"/>
    </row>
    <row r="150" spans="2:23" ht="14.4" hidden="1" outlineLevel="1" x14ac:dyDescent="0.3">
      <c r="B150" s="425">
        <f t="shared" si="2"/>
        <v>50</v>
      </c>
      <c r="C150" s="95" t="s">
        <v>456</v>
      </c>
      <c r="D150" s="474"/>
      <c r="E150" s="474"/>
      <c r="F150" s="91"/>
      <c r="G150" s="91"/>
      <c r="H150" s="91"/>
      <c r="I150" s="91"/>
      <c r="J150" s="91"/>
      <c r="K150" s="91"/>
      <c r="L150" s="91"/>
      <c r="M150" s="91"/>
      <c r="N150" s="91"/>
      <c r="O150" s="91"/>
      <c r="P150" s="91"/>
      <c r="Q150" s="91"/>
      <c r="R150" s="91"/>
      <c r="S150" s="91"/>
      <c r="T150" s="91"/>
      <c r="U150" s="91"/>
      <c r="V150" s="91"/>
      <c r="W150" s="91"/>
    </row>
    <row r="151" spans="2:23" ht="14.4" hidden="1" outlineLevel="1" x14ac:dyDescent="0.3">
      <c r="B151" s="425">
        <f t="shared" si="2"/>
        <v>51</v>
      </c>
      <c r="C151" s="95" t="s">
        <v>456</v>
      </c>
      <c r="D151" s="474"/>
      <c r="E151" s="474"/>
      <c r="F151" s="91"/>
      <c r="G151" s="91"/>
      <c r="H151" s="91"/>
      <c r="I151" s="91"/>
      <c r="J151" s="91"/>
      <c r="K151" s="91"/>
      <c r="L151" s="91"/>
      <c r="M151" s="91"/>
      <c r="N151" s="91"/>
      <c r="O151" s="91"/>
      <c r="P151" s="91"/>
      <c r="Q151" s="91"/>
      <c r="R151" s="91"/>
      <c r="S151" s="91"/>
      <c r="T151" s="91"/>
      <c r="U151" s="91"/>
      <c r="V151" s="91"/>
      <c r="W151" s="91"/>
    </row>
    <row r="152" spans="2:23" ht="14.4" hidden="1" outlineLevel="1" x14ac:dyDescent="0.3">
      <c r="B152" s="425">
        <f t="shared" si="2"/>
        <v>52</v>
      </c>
      <c r="C152" s="95" t="s">
        <v>456</v>
      </c>
      <c r="D152" s="474"/>
      <c r="E152" s="474"/>
      <c r="F152" s="91"/>
      <c r="G152" s="91"/>
      <c r="H152" s="91"/>
      <c r="I152" s="91"/>
      <c r="J152" s="91"/>
      <c r="K152" s="91"/>
      <c r="L152" s="91"/>
      <c r="M152" s="91"/>
      <c r="N152" s="91"/>
      <c r="O152" s="91"/>
      <c r="P152" s="91"/>
      <c r="Q152" s="91"/>
      <c r="R152" s="91"/>
      <c r="S152" s="91"/>
      <c r="T152" s="91"/>
      <c r="U152" s="91"/>
      <c r="V152" s="91"/>
      <c r="W152" s="91"/>
    </row>
    <row r="153" spans="2:23" ht="14.4" hidden="1" outlineLevel="1" x14ac:dyDescent="0.3">
      <c r="B153" s="425">
        <f t="shared" si="2"/>
        <v>53</v>
      </c>
      <c r="C153" s="95" t="s">
        <v>456</v>
      </c>
      <c r="D153" s="474"/>
      <c r="E153" s="474"/>
      <c r="F153" s="91"/>
      <c r="G153" s="91"/>
      <c r="H153" s="91"/>
      <c r="I153" s="91"/>
      <c r="J153" s="91"/>
      <c r="K153" s="91"/>
      <c r="L153" s="91"/>
      <c r="M153" s="91"/>
      <c r="N153" s="91"/>
      <c r="O153" s="91"/>
      <c r="P153" s="91"/>
      <c r="Q153" s="91"/>
      <c r="R153" s="91"/>
      <c r="S153" s="91"/>
      <c r="T153" s="91"/>
      <c r="U153" s="91"/>
      <c r="V153" s="91"/>
      <c r="W153" s="91"/>
    </row>
    <row r="154" spans="2:23" ht="14.4" hidden="1" outlineLevel="1" x14ac:dyDescent="0.3">
      <c r="B154" s="425">
        <f t="shared" si="2"/>
        <v>54</v>
      </c>
      <c r="C154" s="95" t="s">
        <v>456</v>
      </c>
      <c r="D154" s="474"/>
      <c r="E154" s="474"/>
      <c r="F154" s="91"/>
      <c r="G154" s="91"/>
      <c r="H154" s="91"/>
      <c r="I154" s="91"/>
      <c r="J154" s="91"/>
      <c r="K154" s="91"/>
      <c r="L154" s="91"/>
      <c r="M154" s="91"/>
      <c r="N154" s="91"/>
      <c r="O154" s="91"/>
      <c r="P154" s="91"/>
      <c r="Q154" s="91"/>
      <c r="R154" s="91"/>
      <c r="S154" s="91"/>
      <c r="T154" s="91"/>
      <c r="U154" s="91"/>
      <c r="V154" s="91"/>
      <c r="W154" s="91"/>
    </row>
    <row r="155" spans="2:23" ht="14.4" hidden="1" outlineLevel="1" x14ac:dyDescent="0.3">
      <c r="B155" s="425">
        <f t="shared" si="2"/>
        <v>55</v>
      </c>
      <c r="C155" s="95" t="s">
        <v>456</v>
      </c>
      <c r="D155" s="474"/>
      <c r="E155" s="474"/>
      <c r="F155" s="91"/>
      <c r="G155" s="91"/>
      <c r="H155" s="91"/>
      <c r="I155" s="91"/>
      <c r="J155" s="91"/>
      <c r="K155" s="91"/>
      <c r="L155" s="91"/>
      <c r="M155" s="91"/>
      <c r="N155" s="91"/>
      <c r="O155" s="91"/>
      <c r="P155" s="91"/>
      <c r="Q155" s="91"/>
      <c r="R155" s="91"/>
      <c r="S155" s="91"/>
      <c r="T155" s="91"/>
      <c r="U155" s="91"/>
      <c r="V155" s="91"/>
      <c r="W155" s="91"/>
    </row>
    <row r="156" spans="2:23" ht="14.4" hidden="1" outlineLevel="1" x14ac:dyDescent="0.3">
      <c r="B156" s="425">
        <f t="shared" si="2"/>
        <v>56</v>
      </c>
      <c r="C156" s="95" t="s">
        <v>456</v>
      </c>
      <c r="D156" s="474"/>
      <c r="E156" s="474"/>
      <c r="F156" s="91"/>
      <c r="G156" s="91"/>
      <c r="H156" s="91"/>
      <c r="I156" s="91"/>
      <c r="J156" s="91"/>
      <c r="K156" s="91"/>
      <c r="L156" s="91"/>
      <c r="M156" s="91"/>
      <c r="N156" s="91"/>
      <c r="O156" s="91"/>
      <c r="P156" s="91"/>
      <c r="Q156" s="91"/>
      <c r="R156" s="91"/>
      <c r="S156" s="91"/>
      <c r="T156" s="91"/>
      <c r="U156" s="91"/>
      <c r="V156" s="91"/>
      <c r="W156" s="91"/>
    </row>
    <row r="157" spans="2:23" ht="14.4" hidden="1" outlineLevel="1" x14ac:dyDescent="0.3">
      <c r="B157" s="425">
        <f t="shared" si="2"/>
        <v>57</v>
      </c>
      <c r="C157" s="95" t="s">
        <v>456</v>
      </c>
      <c r="D157" s="474"/>
      <c r="E157" s="474"/>
      <c r="F157" s="91"/>
      <c r="G157" s="91"/>
      <c r="H157" s="91"/>
      <c r="I157" s="91"/>
      <c r="J157" s="91"/>
      <c r="K157" s="91"/>
      <c r="L157" s="91"/>
      <c r="M157" s="91"/>
      <c r="N157" s="91"/>
      <c r="O157" s="91"/>
      <c r="P157" s="91"/>
      <c r="Q157" s="91"/>
      <c r="R157" s="91"/>
      <c r="S157" s="91"/>
      <c r="T157" s="91"/>
      <c r="U157" s="91"/>
      <c r="V157" s="91"/>
      <c r="W157" s="91"/>
    </row>
    <row r="158" spans="2:23" ht="14.4" hidden="1" outlineLevel="1" x14ac:dyDescent="0.3">
      <c r="B158" s="425">
        <f t="shared" si="2"/>
        <v>58</v>
      </c>
      <c r="C158" s="95" t="s">
        <v>456</v>
      </c>
      <c r="D158" s="474"/>
      <c r="E158" s="474"/>
      <c r="F158" s="91"/>
      <c r="G158" s="91"/>
      <c r="H158" s="91"/>
      <c r="I158" s="91"/>
      <c r="J158" s="91"/>
      <c r="K158" s="91"/>
      <c r="L158" s="91"/>
      <c r="M158" s="91"/>
      <c r="N158" s="91"/>
      <c r="O158" s="91"/>
      <c r="P158" s="91"/>
      <c r="Q158" s="91"/>
      <c r="R158" s="91"/>
      <c r="S158" s="91"/>
      <c r="T158" s="91"/>
      <c r="U158" s="91"/>
      <c r="V158" s="91"/>
      <c r="W158" s="91"/>
    </row>
    <row r="159" spans="2:23" ht="14.4" hidden="1" outlineLevel="1" x14ac:dyDescent="0.3">
      <c r="B159" s="425">
        <f t="shared" si="2"/>
        <v>59</v>
      </c>
      <c r="C159" s="95" t="s">
        <v>456</v>
      </c>
      <c r="D159" s="474"/>
      <c r="E159" s="474"/>
      <c r="F159" s="91"/>
      <c r="G159" s="91"/>
      <c r="H159" s="91"/>
      <c r="I159" s="91"/>
      <c r="J159" s="91"/>
      <c r="K159" s="91"/>
      <c r="L159" s="91"/>
      <c r="M159" s="91"/>
      <c r="N159" s="91"/>
      <c r="O159" s="91"/>
      <c r="P159" s="91"/>
      <c r="Q159" s="91"/>
      <c r="R159" s="91"/>
      <c r="S159" s="91"/>
      <c r="T159" s="91"/>
      <c r="U159" s="91"/>
      <c r="V159" s="91"/>
      <c r="W159" s="91"/>
    </row>
    <row r="160" spans="2:23" ht="14.4" hidden="1" outlineLevel="1" x14ac:dyDescent="0.3">
      <c r="B160" s="425">
        <f t="shared" si="2"/>
        <v>60</v>
      </c>
      <c r="C160" s="95" t="s">
        <v>456</v>
      </c>
      <c r="D160" s="474"/>
      <c r="E160" s="474"/>
      <c r="F160" s="91"/>
      <c r="G160" s="91"/>
      <c r="H160" s="91"/>
      <c r="I160" s="91"/>
      <c r="J160" s="91"/>
      <c r="K160" s="91"/>
      <c r="L160" s="91"/>
      <c r="M160" s="91"/>
      <c r="N160" s="91"/>
      <c r="O160" s="91"/>
      <c r="P160" s="91"/>
      <c r="Q160" s="91"/>
      <c r="R160" s="91"/>
      <c r="S160" s="91"/>
      <c r="T160" s="91"/>
      <c r="U160" s="91"/>
      <c r="V160" s="91"/>
      <c r="W160" s="91"/>
    </row>
    <row r="161" spans="2:23" ht="14.4" hidden="1" outlineLevel="1" x14ac:dyDescent="0.3">
      <c r="B161" s="425">
        <f t="shared" si="2"/>
        <v>61</v>
      </c>
      <c r="C161" s="95" t="s">
        <v>456</v>
      </c>
      <c r="D161" s="474"/>
      <c r="E161" s="474"/>
      <c r="F161" s="91"/>
      <c r="G161" s="91"/>
      <c r="H161" s="91"/>
      <c r="I161" s="91"/>
      <c r="J161" s="91"/>
      <c r="K161" s="91"/>
      <c r="L161" s="91"/>
      <c r="M161" s="91"/>
      <c r="N161" s="91"/>
      <c r="O161" s="91"/>
      <c r="P161" s="91"/>
      <c r="Q161" s="91"/>
      <c r="R161" s="91"/>
      <c r="S161" s="91"/>
      <c r="T161" s="91"/>
      <c r="U161" s="91"/>
      <c r="V161" s="91"/>
      <c r="W161" s="91"/>
    </row>
    <row r="162" spans="2:23" ht="14.4" hidden="1" outlineLevel="1" x14ac:dyDescent="0.3">
      <c r="B162" s="425">
        <f t="shared" si="2"/>
        <v>62</v>
      </c>
      <c r="C162" s="95" t="s">
        <v>456</v>
      </c>
      <c r="D162" s="474"/>
      <c r="E162" s="474"/>
      <c r="F162" s="91"/>
      <c r="G162" s="91"/>
      <c r="H162" s="91"/>
      <c r="I162" s="91"/>
      <c r="J162" s="91"/>
      <c r="K162" s="91"/>
      <c r="L162" s="91"/>
      <c r="M162" s="91"/>
      <c r="N162" s="91"/>
      <c r="O162" s="91"/>
      <c r="P162" s="91"/>
      <c r="Q162" s="91"/>
      <c r="R162" s="91"/>
      <c r="S162" s="91"/>
      <c r="T162" s="91"/>
      <c r="U162" s="91"/>
      <c r="V162" s="91"/>
      <c r="W162" s="91"/>
    </row>
    <row r="163" spans="2:23" ht="14.4" hidden="1" outlineLevel="1" x14ac:dyDescent="0.3">
      <c r="B163" s="425">
        <f t="shared" si="2"/>
        <v>63</v>
      </c>
      <c r="C163" s="95" t="s">
        <v>456</v>
      </c>
      <c r="D163" s="474"/>
      <c r="E163" s="474"/>
      <c r="F163" s="91"/>
      <c r="G163" s="91"/>
      <c r="H163" s="91"/>
      <c r="I163" s="91"/>
      <c r="J163" s="91"/>
      <c r="K163" s="91"/>
      <c r="L163" s="91"/>
      <c r="M163" s="91"/>
      <c r="N163" s="91"/>
      <c r="O163" s="91"/>
      <c r="P163" s="91"/>
      <c r="Q163" s="91"/>
      <c r="R163" s="91"/>
      <c r="S163" s="91"/>
      <c r="T163" s="91"/>
      <c r="U163" s="91"/>
      <c r="V163" s="91"/>
      <c r="W163" s="91"/>
    </row>
    <row r="164" spans="2:23" ht="14.4" hidden="1" outlineLevel="1" x14ac:dyDescent="0.3">
      <c r="B164" s="425">
        <f t="shared" si="2"/>
        <v>64</v>
      </c>
      <c r="C164" s="95" t="s">
        <v>456</v>
      </c>
      <c r="D164" s="474"/>
      <c r="E164" s="474"/>
      <c r="F164" s="91"/>
      <c r="G164" s="91"/>
      <c r="H164" s="91"/>
      <c r="I164" s="91"/>
      <c r="J164" s="91"/>
      <c r="K164" s="91"/>
      <c r="L164" s="91"/>
      <c r="M164" s="91"/>
      <c r="N164" s="91"/>
      <c r="O164" s="91"/>
      <c r="P164" s="91"/>
      <c r="Q164" s="91"/>
      <c r="R164" s="91"/>
      <c r="S164" s="91"/>
      <c r="T164" s="91"/>
      <c r="U164" s="91"/>
      <c r="V164" s="91"/>
      <c r="W164" s="91"/>
    </row>
    <row r="165" spans="2:23" ht="14.4" hidden="1" outlineLevel="1" x14ac:dyDescent="0.3">
      <c r="B165" s="425">
        <f t="shared" si="2"/>
        <v>65</v>
      </c>
      <c r="C165" s="95" t="s">
        <v>456</v>
      </c>
      <c r="D165" s="474"/>
      <c r="E165" s="474"/>
      <c r="F165" s="91"/>
      <c r="G165" s="91"/>
      <c r="H165" s="91"/>
      <c r="I165" s="91"/>
      <c r="J165" s="91"/>
      <c r="K165" s="91"/>
      <c r="L165" s="91"/>
      <c r="M165" s="91"/>
      <c r="N165" s="91"/>
      <c r="O165" s="91"/>
      <c r="P165" s="91"/>
      <c r="Q165" s="91"/>
      <c r="R165" s="91"/>
      <c r="S165" s="91"/>
      <c r="T165" s="91"/>
      <c r="U165" s="91"/>
      <c r="V165" s="91"/>
      <c r="W165" s="91"/>
    </row>
    <row r="166" spans="2:23" ht="14.4" hidden="1" outlineLevel="1" x14ac:dyDescent="0.3">
      <c r="B166" s="425">
        <f t="shared" si="2"/>
        <v>66</v>
      </c>
      <c r="C166" s="95" t="s">
        <v>456</v>
      </c>
      <c r="D166" s="474"/>
      <c r="E166" s="474"/>
      <c r="F166" s="91"/>
      <c r="G166" s="91"/>
      <c r="H166" s="91"/>
      <c r="I166" s="91"/>
      <c r="J166" s="91"/>
      <c r="K166" s="91"/>
      <c r="L166" s="91"/>
      <c r="M166" s="91"/>
      <c r="N166" s="91"/>
      <c r="O166" s="91"/>
      <c r="P166" s="91"/>
      <c r="Q166" s="91"/>
      <c r="R166" s="91"/>
      <c r="S166" s="91"/>
      <c r="T166" s="91"/>
      <c r="U166" s="91"/>
      <c r="V166" s="91"/>
      <c r="W166" s="91"/>
    </row>
    <row r="167" spans="2:23" ht="14.4" hidden="1" outlineLevel="1" x14ac:dyDescent="0.3">
      <c r="B167" s="425">
        <f t="shared" ref="B167:B179" si="3">1+B166</f>
        <v>67</v>
      </c>
      <c r="C167" s="95" t="s">
        <v>456</v>
      </c>
      <c r="D167" s="474"/>
      <c r="E167" s="474"/>
      <c r="F167" s="91"/>
      <c r="G167" s="91"/>
      <c r="H167" s="91"/>
      <c r="I167" s="91"/>
      <c r="J167" s="91"/>
      <c r="K167" s="91"/>
      <c r="L167" s="91"/>
      <c r="M167" s="91"/>
      <c r="N167" s="91"/>
      <c r="O167" s="91"/>
      <c r="P167" s="91"/>
      <c r="Q167" s="91"/>
      <c r="R167" s="91"/>
      <c r="S167" s="91"/>
      <c r="T167" s="91"/>
      <c r="U167" s="91"/>
      <c r="V167" s="91"/>
      <c r="W167" s="91"/>
    </row>
    <row r="168" spans="2:23" ht="14.4" hidden="1" outlineLevel="1" x14ac:dyDescent="0.3">
      <c r="B168" s="425">
        <f t="shared" si="3"/>
        <v>68</v>
      </c>
      <c r="C168" s="95" t="s">
        <v>456</v>
      </c>
      <c r="D168" s="474"/>
      <c r="E168" s="474"/>
      <c r="F168" s="91"/>
      <c r="G168" s="91"/>
      <c r="H168" s="91"/>
      <c r="I168" s="91"/>
      <c r="J168" s="91"/>
      <c r="K168" s="91"/>
      <c r="L168" s="91"/>
      <c r="M168" s="91"/>
      <c r="N168" s="91"/>
      <c r="O168" s="91"/>
      <c r="P168" s="91"/>
      <c r="Q168" s="91"/>
      <c r="R168" s="91"/>
      <c r="S168" s="91"/>
      <c r="T168" s="91"/>
      <c r="U168" s="91"/>
      <c r="V168" s="91"/>
      <c r="W168" s="91"/>
    </row>
    <row r="169" spans="2:23" ht="14.4" hidden="1" outlineLevel="1" x14ac:dyDescent="0.3">
      <c r="B169" s="425">
        <f t="shared" si="3"/>
        <v>69</v>
      </c>
      <c r="C169" s="95" t="s">
        <v>456</v>
      </c>
      <c r="D169" s="474"/>
      <c r="E169" s="474"/>
      <c r="F169" s="91"/>
      <c r="G169" s="91"/>
      <c r="H169" s="91"/>
      <c r="I169" s="91"/>
      <c r="J169" s="91"/>
      <c r="K169" s="91"/>
      <c r="L169" s="91"/>
      <c r="M169" s="91"/>
      <c r="N169" s="91"/>
      <c r="O169" s="91"/>
      <c r="P169" s="91"/>
      <c r="Q169" s="91"/>
      <c r="R169" s="91"/>
      <c r="S169" s="91"/>
      <c r="T169" s="91"/>
      <c r="U169" s="91"/>
      <c r="V169" s="91"/>
      <c r="W169" s="91"/>
    </row>
    <row r="170" spans="2:23" ht="14.4" hidden="1" outlineLevel="1" x14ac:dyDescent="0.3">
      <c r="B170" s="425">
        <f t="shared" si="3"/>
        <v>70</v>
      </c>
      <c r="C170" s="95" t="s">
        <v>456</v>
      </c>
      <c r="D170" s="474"/>
      <c r="E170" s="474"/>
      <c r="F170" s="91"/>
      <c r="G170" s="91"/>
      <c r="H170" s="91"/>
      <c r="I170" s="91"/>
      <c r="J170" s="91"/>
      <c r="K170" s="91"/>
      <c r="L170" s="91"/>
      <c r="M170" s="91"/>
      <c r="N170" s="91"/>
      <c r="O170" s="91"/>
      <c r="P170" s="91"/>
      <c r="Q170" s="91"/>
      <c r="R170" s="91"/>
      <c r="S170" s="91"/>
      <c r="T170" s="91"/>
      <c r="U170" s="91"/>
      <c r="V170" s="91"/>
      <c r="W170" s="91"/>
    </row>
    <row r="171" spans="2:23" ht="14.4" hidden="1" outlineLevel="1" x14ac:dyDescent="0.3">
      <c r="B171" s="425">
        <f t="shared" si="3"/>
        <v>71</v>
      </c>
      <c r="C171" s="95" t="s">
        <v>456</v>
      </c>
      <c r="D171" s="474"/>
      <c r="E171" s="474"/>
      <c r="F171" s="91"/>
      <c r="G171" s="91"/>
      <c r="H171" s="91"/>
      <c r="I171" s="91"/>
      <c r="J171" s="91"/>
      <c r="K171" s="91"/>
      <c r="L171" s="91"/>
      <c r="M171" s="91"/>
      <c r="N171" s="91"/>
      <c r="O171" s="91"/>
      <c r="P171" s="91"/>
      <c r="Q171" s="91"/>
      <c r="R171" s="91"/>
      <c r="S171" s="91"/>
      <c r="T171" s="91"/>
      <c r="U171" s="91"/>
      <c r="V171" s="91"/>
      <c r="W171" s="91"/>
    </row>
    <row r="172" spans="2:23" ht="14.4" hidden="1" outlineLevel="1" x14ac:dyDescent="0.3">
      <c r="B172" s="425">
        <f t="shared" si="3"/>
        <v>72</v>
      </c>
      <c r="C172" s="95" t="s">
        <v>456</v>
      </c>
      <c r="D172" s="474"/>
      <c r="E172" s="474"/>
      <c r="F172" s="91"/>
      <c r="G172" s="91"/>
      <c r="H172" s="91"/>
      <c r="I172" s="91"/>
      <c r="J172" s="91"/>
      <c r="K172" s="91"/>
      <c r="L172" s="91"/>
      <c r="M172" s="91"/>
      <c r="N172" s="91"/>
      <c r="O172" s="91"/>
      <c r="P172" s="91"/>
      <c r="Q172" s="91"/>
      <c r="R172" s="91"/>
      <c r="S172" s="91"/>
      <c r="T172" s="91"/>
      <c r="U172" s="91"/>
      <c r="V172" s="91"/>
      <c r="W172" s="91"/>
    </row>
    <row r="173" spans="2:23" ht="14.4" hidden="1" outlineLevel="1" x14ac:dyDescent="0.3">
      <c r="B173" s="425">
        <f t="shared" si="3"/>
        <v>73</v>
      </c>
      <c r="C173" s="95" t="s">
        <v>456</v>
      </c>
      <c r="D173" s="474"/>
      <c r="E173" s="474"/>
      <c r="F173" s="91"/>
      <c r="G173" s="91"/>
      <c r="H173" s="91"/>
      <c r="I173" s="91"/>
      <c r="J173" s="91"/>
      <c r="K173" s="91"/>
      <c r="L173" s="91"/>
      <c r="M173" s="91"/>
      <c r="N173" s="91"/>
      <c r="O173" s="91"/>
      <c r="P173" s="91"/>
      <c r="Q173" s="91"/>
      <c r="R173" s="91"/>
      <c r="S173" s="91"/>
      <c r="T173" s="91"/>
      <c r="U173" s="91"/>
      <c r="V173" s="91"/>
      <c r="W173" s="91"/>
    </row>
    <row r="174" spans="2:23" ht="14.4" hidden="1" outlineLevel="1" x14ac:dyDescent="0.3">
      <c r="B174" s="425">
        <f t="shared" si="3"/>
        <v>74</v>
      </c>
      <c r="C174" s="95" t="s">
        <v>456</v>
      </c>
      <c r="D174" s="474"/>
      <c r="E174" s="474"/>
      <c r="F174" s="91"/>
      <c r="G174" s="91"/>
      <c r="H174" s="91"/>
      <c r="I174" s="91"/>
      <c r="J174" s="91"/>
      <c r="K174" s="91"/>
      <c r="L174" s="91"/>
      <c r="M174" s="91"/>
      <c r="N174" s="91"/>
      <c r="O174" s="91"/>
      <c r="P174" s="91"/>
      <c r="Q174" s="91"/>
      <c r="R174" s="91"/>
      <c r="S174" s="91"/>
      <c r="T174" s="91"/>
      <c r="U174" s="91"/>
      <c r="V174" s="91"/>
      <c r="W174" s="91"/>
    </row>
    <row r="175" spans="2:23" ht="14.4" hidden="1" outlineLevel="1" x14ac:dyDescent="0.3">
      <c r="B175" s="425">
        <f t="shared" si="3"/>
        <v>75</v>
      </c>
      <c r="C175" s="95" t="s">
        <v>456</v>
      </c>
      <c r="D175" s="474"/>
      <c r="E175" s="474"/>
      <c r="F175" s="91"/>
      <c r="G175" s="91"/>
      <c r="H175" s="91"/>
      <c r="I175" s="91"/>
      <c r="J175" s="91"/>
      <c r="K175" s="91"/>
      <c r="L175" s="91"/>
      <c r="M175" s="91"/>
      <c r="N175" s="91"/>
      <c r="O175" s="91"/>
      <c r="P175" s="91"/>
      <c r="Q175" s="91"/>
      <c r="R175" s="91"/>
      <c r="S175" s="91"/>
      <c r="T175" s="91"/>
      <c r="U175" s="91"/>
      <c r="V175" s="91"/>
      <c r="W175" s="91"/>
    </row>
    <row r="176" spans="2:23" ht="14.4" hidden="1" outlineLevel="1" x14ac:dyDescent="0.3">
      <c r="B176" s="425">
        <f t="shared" si="3"/>
        <v>76</v>
      </c>
      <c r="C176" s="95" t="s">
        <v>456</v>
      </c>
      <c r="D176" s="474"/>
      <c r="E176" s="474"/>
      <c r="F176" s="91"/>
      <c r="G176" s="91"/>
      <c r="H176" s="91"/>
      <c r="I176" s="91"/>
      <c r="J176" s="91"/>
      <c r="K176" s="91"/>
      <c r="L176" s="91"/>
      <c r="M176" s="91"/>
      <c r="N176" s="91"/>
      <c r="O176" s="91"/>
      <c r="P176" s="91"/>
      <c r="Q176" s="91"/>
      <c r="R176" s="91"/>
      <c r="S176" s="91"/>
      <c r="T176" s="91"/>
      <c r="U176" s="91"/>
      <c r="V176" s="91"/>
      <c r="W176" s="91"/>
    </row>
    <row r="177" spans="2:23" ht="14.4" hidden="1" outlineLevel="1" x14ac:dyDescent="0.3">
      <c r="B177" s="425">
        <f t="shared" si="3"/>
        <v>77</v>
      </c>
      <c r="C177" s="95" t="s">
        <v>456</v>
      </c>
      <c r="D177" s="474"/>
      <c r="E177" s="474"/>
      <c r="F177" s="91"/>
      <c r="G177" s="91"/>
      <c r="H177" s="91"/>
      <c r="I177" s="91"/>
      <c r="J177" s="91"/>
      <c r="K177" s="91"/>
      <c r="L177" s="91"/>
      <c r="M177" s="91"/>
      <c r="N177" s="91"/>
      <c r="O177" s="91"/>
      <c r="P177" s="91"/>
      <c r="Q177" s="91"/>
      <c r="R177" s="91"/>
      <c r="S177" s="91"/>
      <c r="T177" s="91"/>
      <c r="U177" s="91"/>
      <c r="V177" s="91"/>
      <c r="W177" s="91"/>
    </row>
    <row r="178" spans="2:23" ht="14.4" hidden="1" outlineLevel="1" x14ac:dyDescent="0.3">
      <c r="B178" s="425">
        <f t="shared" si="3"/>
        <v>78</v>
      </c>
      <c r="C178" s="95" t="s">
        <v>456</v>
      </c>
      <c r="D178" s="474"/>
      <c r="E178" s="474"/>
      <c r="F178" s="91"/>
      <c r="G178" s="91"/>
      <c r="H178" s="91"/>
      <c r="I178" s="91"/>
      <c r="J178" s="91"/>
      <c r="K178" s="91"/>
      <c r="L178" s="91"/>
      <c r="M178" s="91"/>
      <c r="N178" s="91"/>
      <c r="O178" s="91"/>
      <c r="P178" s="91"/>
      <c r="Q178" s="91"/>
      <c r="R178" s="91"/>
      <c r="S178" s="91"/>
      <c r="T178" s="91"/>
      <c r="U178" s="91"/>
      <c r="V178" s="91"/>
      <c r="W178" s="91"/>
    </row>
    <row r="179" spans="2:23" ht="14.4" hidden="1" x14ac:dyDescent="0.3">
      <c r="B179" s="425">
        <f t="shared" si="3"/>
        <v>79</v>
      </c>
      <c r="C179" s="95" t="s">
        <v>456</v>
      </c>
      <c r="D179" s="474"/>
      <c r="E179" s="474"/>
      <c r="F179" s="91"/>
      <c r="G179" s="91"/>
      <c r="H179" s="91"/>
      <c r="I179" s="91"/>
      <c r="J179" s="91"/>
      <c r="K179" s="91"/>
      <c r="L179" s="91"/>
      <c r="M179" s="91"/>
      <c r="N179" s="91"/>
      <c r="O179" s="91"/>
      <c r="P179" s="91"/>
      <c r="Q179" s="91"/>
      <c r="R179" s="91"/>
      <c r="S179" s="91"/>
      <c r="T179" s="91"/>
      <c r="U179" s="91"/>
      <c r="V179" s="91"/>
      <c r="W179" s="91"/>
    </row>
    <row r="181" spans="2:23" x14ac:dyDescent="0.2">
      <c r="C181" s="252" t="s">
        <v>956</v>
      </c>
    </row>
    <row r="182" spans="2:23" x14ac:dyDescent="0.2">
      <c r="C182" s="252"/>
    </row>
    <row r="183" spans="2:23" ht="15.6" x14ac:dyDescent="0.2">
      <c r="C183" s="469" t="s">
        <v>853</v>
      </c>
      <c r="D183" s="437"/>
      <c r="E183" s="437"/>
      <c r="F183" s="437"/>
      <c r="G183" s="438"/>
    </row>
    <row r="184" spans="2:23" x14ac:dyDescent="0.2">
      <c r="C184" s="252"/>
    </row>
    <row r="185" spans="2:23" ht="24" x14ac:dyDescent="0.2">
      <c r="B185" s="252"/>
      <c r="C185" s="96" t="s">
        <v>974</v>
      </c>
      <c r="E185" s="475" t="s">
        <v>975</v>
      </c>
      <c r="F185" s="570" t="s">
        <v>976</v>
      </c>
      <c r="G185" s="571"/>
      <c r="H185" s="571"/>
      <c r="I185" s="572"/>
      <c r="J185" s="573" t="s">
        <v>977</v>
      </c>
      <c r="K185" s="573"/>
      <c r="L185" s="476" t="s">
        <v>978</v>
      </c>
      <c r="M185" s="477" t="s">
        <v>1001</v>
      </c>
      <c r="N185" s="570" t="s">
        <v>979</v>
      </c>
      <c r="O185" s="571"/>
      <c r="P185" s="571"/>
      <c r="Q185" s="571"/>
      <c r="R185" s="571"/>
      <c r="S185" s="571"/>
      <c r="T185" s="571"/>
      <c r="U185" s="572"/>
      <c r="V185" s="475" t="s">
        <v>980</v>
      </c>
      <c r="W185" s="475"/>
    </row>
    <row r="186" spans="2:23" ht="60" x14ac:dyDescent="0.2">
      <c r="B186" s="252"/>
      <c r="C186" s="418" t="s">
        <v>456</v>
      </c>
      <c r="D186" s="461" t="s">
        <v>993</v>
      </c>
      <c r="E186" s="461" t="s">
        <v>975</v>
      </c>
      <c r="F186" s="461" t="s">
        <v>981</v>
      </c>
      <c r="G186" s="461" t="s">
        <v>982</v>
      </c>
      <c r="H186" s="461" t="s">
        <v>983</v>
      </c>
      <c r="I186" s="473" t="s">
        <v>984</v>
      </c>
      <c r="J186" s="418" t="s">
        <v>977</v>
      </c>
      <c r="K186" s="418" t="s">
        <v>985</v>
      </c>
      <c r="L186" s="461" t="s">
        <v>733</v>
      </c>
      <c r="M186" s="461" t="s">
        <v>1002</v>
      </c>
      <c r="N186" s="461" t="s">
        <v>986</v>
      </c>
      <c r="O186" s="461" t="s">
        <v>987</v>
      </c>
      <c r="P186" s="461" t="s">
        <v>1026</v>
      </c>
      <c r="Q186" s="461" t="s">
        <v>1027</v>
      </c>
      <c r="R186" s="461" t="s">
        <v>988</v>
      </c>
      <c r="S186" s="461" t="s">
        <v>989</v>
      </c>
      <c r="T186" s="461" t="s">
        <v>1003</v>
      </c>
      <c r="U186" s="461" t="s">
        <v>990</v>
      </c>
      <c r="V186" s="461" t="s">
        <v>991</v>
      </c>
      <c r="W186" s="461" t="s">
        <v>992</v>
      </c>
    </row>
    <row r="187" spans="2:23" ht="14.4" x14ac:dyDescent="0.3">
      <c r="B187" s="425">
        <v>1</v>
      </c>
      <c r="C187" s="95" t="s">
        <v>456</v>
      </c>
      <c r="D187" s="474"/>
      <c r="E187" s="474"/>
      <c r="F187" s="91"/>
      <c r="G187" s="91"/>
      <c r="H187" s="91"/>
      <c r="I187" s="91"/>
      <c r="J187" s="427"/>
      <c r="K187" s="427"/>
      <c r="L187" s="91"/>
      <c r="M187" s="91"/>
      <c r="N187" s="91"/>
      <c r="O187" s="91"/>
      <c r="P187" s="91"/>
      <c r="Q187" s="91"/>
      <c r="R187" s="91"/>
      <c r="S187" s="91"/>
      <c r="T187" s="91"/>
      <c r="U187" s="91"/>
      <c r="V187" s="91"/>
      <c r="W187" s="91"/>
    </row>
    <row r="188" spans="2:23" ht="14.4" x14ac:dyDescent="0.3">
      <c r="B188" s="425">
        <f>1+B187</f>
        <v>2</v>
      </c>
      <c r="C188" s="95" t="s">
        <v>456</v>
      </c>
      <c r="D188" s="474"/>
      <c r="E188" s="474"/>
      <c r="F188" s="91"/>
      <c r="G188" s="91"/>
      <c r="H188" s="91"/>
      <c r="I188" s="91"/>
      <c r="J188" s="91"/>
      <c r="K188" s="91"/>
      <c r="L188" s="91"/>
      <c r="M188" s="91"/>
      <c r="N188" s="91"/>
      <c r="O188" s="91"/>
      <c r="P188" s="91"/>
      <c r="Q188" s="91"/>
      <c r="R188" s="91"/>
      <c r="S188" s="91"/>
      <c r="T188" s="91"/>
      <c r="U188" s="91"/>
      <c r="V188" s="91"/>
      <c r="W188" s="91"/>
    </row>
    <row r="189" spans="2:23" ht="14.4" x14ac:dyDescent="0.3">
      <c r="B189" s="425">
        <f t="shared" ref="B189:B252" si="4">1+B188</f>
        <v>3</v>
      </c>
      <c r="C189" s="95" t="s">
        <v>456</v>
      </c>
      <c r="D189" s="474"/>
      <c r="E189" s="474"/>
      <c r="F189" s="91"/>
      <c r="G189" s="91"/>
      <c r="H189" s="91"/>
      <c r="I189" s="91"/>
      <c r="J189" s="91"/>
      <c r="K189" s="91"/>
      <c r="L189" s="91"/>
      <c r="M189" s="91"/>
      <c r="N189" s="91"/>
      <c r="O189" s="91"/>
      <c r="P189" s="91"/>
      <c r="Q189" s="91"/>
      <c r="R189" s="91"/>
      <c r="S189" s="91"/>
      <c r="T189" s="91"/>
      <c r="U189" s="91"/>
      <c r="V189" s="91"/>
      <c r="W189" s="91"/>
    </row>
    <row r="190" spans="2:23" ht="14.4" x14ac:dyDescent="0.3">
      <c r="B190" s="425">
        <f t="shared" si="4"/>
        <v>4</v>
      </c>
      <c r="C190" s="95" t="s">
        <v>456</v>
      </c>
      <c r="D190" s="474"/>
      <c r="E190" s="474"/>
      <c r="F190" s="91"/>
      <c r="G190" s="91"/>
      <c r="H190" s="91"/>
      <c r="I190" s="91"/>
      <c r="J190" s="91"/>
      <c r="K190" s="91"/>
      <c r="L190" s="91"/>
      <c r="M190" s="91"/>
      <c r="N190" s="91"/>
      <c r="O190" s="91"/>
      <c r="P190" s="91"/>
      <c r="Q190" s="91"/>
      <c r="R190" s="91"/>
      <c r="S190" s="91"/>
      <c r="T190" s="91"/>
      <c r="U190" s="91"/>
      <c r="V190" s="91"/>
      <c r="W190" s="91"/>
    </row>
    <row r="191" spans="2:23" ht="14.4" x14ac:dyDescent="0.3">
      <c r="B191" s="425">
        <f t="shared" si="4"/>
        <v>5</v>
      </c>
      <c r="C191" s="95" t="s">
        <v>456</v>
      </c>
      <c r="D191" s="474"/>
      <c r="E191" s="474"/>
      <c r="F191" s="91"/>
      <c r="G191" s="91"/>
      <c r="H191" s="91"/>
      <c r="I191" s="91"/>
      <c r="J191" s="91"/>
      <c r="K191" s="91"/>
      <c r="L191" s="91"/>
      <c r="M191" s="91"/>
      <c r="N191" s="91"/>
      <c r="O191" s="91"/>
      <c r="P191" s="91"/>
      <c r="Q191" s="91"/>
      <c r="R191" s="91"/>
      <c r="S191" s="91"/>
      <c r="T191" s="91"/>
      <c r="U191" s="91"/>
      <c r="V191" s="91"/>
      <c r="W191" s="91"/>
    </row>
    <row r="192" spans="2:23" ht="14.4" x14ac:dyDescent="0.3">
      <c r="B192" s="425">
        <f t="shared" si="4"/>
        <v>6</v>
      </c>
      <c r="C192" s="95" t="s">
        <v>456</v>
      </c>
      <c r="D192" s="474"/>
      <c r="E192" s="474"/>
      <c r="F192" s="91"/>
      <c r="G192" s="91"/>
      <c r="H192" s="91"/>
      <c r="I192" s="91"/>
      <c r="J192" s="91"/>
      <c r="K192" s="91"/>
      <c r="L192" s="91"/>
      <c r="M192" s="91"/>
      <c r="N192" s="91"/>
      <c r="O192" s="91"/>
      <c r="P192" s="91"/>
      <c r="Q192" s="91"/>
      <c r="R192" s="91"/>
      <c r="S192" s="91"/>
      <c r="T192" s="91"/>
      <c r="U192" s="91"/>
      <c r="V192" s="91"/>
      <c r="W192" s="91"/>
    </row>
    <row r="193" spans="2:23" ht="14.4" x14ac:dyDescent="0.3">
      <c r="B193" s="425">
        <f t="shared" si="4"/>
        <v>7</v>
      </c>
      <c r="C193" s="95" t="s">
        <v>456</v>
      </c>
      <c r="D193" s="474"/>
      <c r="E193" s="474"/>
      <c r="F193" s="91"/>
      <c r="G193" s="91"/>
      <c r="H193" s="91"/>
      <c r="I193" s="91"/>
      <c r="J193" s="91"/>
      <c r="K193" s="91"/>
      <c r="L193" s="91"/>
      <c r="M193" s="91"/>
      <c r="N193" s="91"/>
      <c r="O193" s="91"/>
      <c r="P193" s="91"/>
      <c r="Q193" s="91"/>
      <c r="R193" s="91"/>
      <c r="S193" s="91"/>
      <c r="T193" s="91"/>
      <c r="U193" s="91"/>
      <c r="V193" s="91"/>
      <c r="W193" s="91"/>
    </row>
    <row r="194" spans="2:23" ht="14.4" x14ac:dyDescent="0.3">
      <c r="B194" s="425">
        <f t="shared" si="4"/>
        <v>8</v>
      </c>
      <c r="C194" s="95" t="s">
        <v>456</v>
      </c>
      <c r="D194" s="474"/>
      <c r="E194" s="474"/>
      <c r="F194" s="91"/>
      <c r="G194" s="91"/>
      <c r="H194" s="91"/>
      <c r="I194" s="91"/>
      <c r="J194" s="91"/>
      <c r="K194" s="91"/>
      <c r="L194" s="91"/>
      <c r="M194" s="91"/>
      <c r="N194" s="91"/>
      <c r="O194" s="91"/>
      <c r="P194" s="91"/>
      <c r="Q194" s="91"/>
      <c r="R194" s="91"/>
      <c r="S194" s="91"/>
      <c r="T194" s="91"/>
      <c r="U194" s="91"/>
      <c r="V194" s="91"/>
      <c r="W194" s="91"/>
    </row>
    <row r="195" spans="2:23" ht="14.4" x14ac:dyDescent="0.3">
      <c r="B195" s="425">
        <f t="shared" si="4"/>
        <v>9</v>
      </c>
      <c r="C195" s="95" t="s">
        <v>456</v>
      </c>
      <c r="D195" s="474"/>
      <c r="E195" s="474"/>
      <c r="F195" s="91"/>
      <c r="G195" s="91"/>
      <c r="H195" s="91"/>
      <c r="I195" s="91"/>
      <c r="J195" s="91"/>
      <c r="K195" s="91"/>
      <c r="L195" s="91"/>
      <c r="M195" s="91"/>
      <c r="N195" s="91"/>
      <c r="O195" s="91"/>
      <c r="P195" s="91"/>
      <c r="Q195" s="91"/>
      <c r="R195" s="91"/>
      <c r="S195" s="91"/>
      <c r="T195" s="91"/>
      <c r="U195" s="91"/>
      <c r="V195" s="91"/>
      <c r="W195" s="91"/>
    </row>
    <row r="196" spans="2:23" ht="14.4" hidden="1" outlineLevel="1" x14ac:dyDescent="0.3">
      <c r="B196" s="425">
        <f t="shared" si="4"/>
        <v>10</v>
      </c>
      <c r="C196" s="95" t="s">
        <v>456</v>
      </c>
      <c r="D196" s="474"/>
      <c r="E196" s="474"/>
      <c r="F196" s="91"/>
      <c r="G196" s="91"/>
      <c r="H196" s="91"/>
      <c r="I196" s="91"/>
      <c r="J196" s="91"/>
      <c r="K196" s="91"/>
      <c r="L196" s="91"/>
      <c r="M196" s="91"/>
      <c r="N196" s="91"/>
      <c r="O196" s="91"/>
      <c r="P196" s="91"/>
      <c r="Q196" s="91"/>
      <c r="R196" s="91"/>
      <c r="S196" s="91"/>
      <c r="T196" s="91"/>
      <c r="U196" s="91"/>
      <c r="V196" s="91"/>
      <c r="W196" s="91"/>
    </row>
    <row r="197" spans="2:23" ht="14.4" hidden="1" outlineLevel="1" x14ac:dyDescent="0.3">
      <c r="B197" s="425">
        <f t="shared" si="4"/>
        <v>11</v>
      </c>
      <c r="C197" s="95" t="s">
        <v>456</v>
      </c>
      <c r="D197" s="474"/>
      <c r="E197" s="474"/>
      <c r="F197" s="91"/>
      <c r="G197" s="91"/>
      <c r="H197" s="91"/>
      <c r="I197" s="91"/>
      <c r="J197" s="91"/>
      <c r="K197" s="91"/>
      <c r="L197" s="91"/>
      <c r="M197" s="91"/>
      <c r="N197" s="91"/>
      <c r="O197" s="91"/>
      <c r="P197" s="91"/>
      <c r="Q197" s="91"/>
      <c r="R197" s="91"/>
      <c r="S197" s="91"/>
      <c r="T197" s="91"/>
      <c r="U197" s="91"/>
      <c r="V197" s="91"/>
      <c r="W197" s="91"/>
    </row>
    <row r="198" spans="2:23" ht="14.4" hidden="1" outlineLevel="1" x14ac:dyDescent="0.3">
      <c r="B198" s="425">
        <f t="shared" si="4"/>
        <v>12</v>
      </c>
      <c r="C198" s="95" t="s">
        <v>456</v>
      </c>
      <c r="D198" s="474"/>
      <c r="E198" s="474"/>
      <c r="F198" s="91"/>
      <c r="G198" s="91"/>
      <c r="H198" s="91"/>
      <c r="I198" s="91"/>
      <c r="J198" s="91"/>
      <c r="K198" s="91"/>
      <c r="L198" s="91"/>
      <c r="M198" s="91"/>
      <c r="N198" s="91"/>
      <c r="O198" s="91"/>
      <c r="P198" s="91"/>
      <c r="Q198" s="91"/>
      <c r="R198" s="91"/>
      <c r="S198" s="91"/>
      <c r="T198" s="91"/>
      <c r="U198" s="91"/>
      <c r="V198" s="91"/>
      <c r="W198" s="91"/>
    </row>
    <row r="199" spans="2:23" ht="14.4" hidden="1" outlineLevel="1" x14ac:dyDescent="0.3">
      <c r="B199" s="425">
        <f t="shared" si="4"/>
        <v>13</v>
      </c>
      <c r="C199" s="95" t="s">
        <v>456</v>
      </c>
      <c r="D199" s="474"/>
      <c r="E199" s="474"/>
      <c r="F199" s="91"/>
      <c r="G199" s="91"/>
      <c r="H199" s="91"/>
      <c r="I199" s="91"/>
      <c r="J199" s="91"/>
      <c r="K199" s="91"/>
      <c r="L199" s="91"/>
      <c r="M199" s="91"/>
      <c r="N199" s="91"/>
      <c r="O199" s="91"/>
      <c r="P199" s="91"/>
      <c r="Q199" s="91"/>
      <c r="R199" s="91"/>
      <c r="S199" s="91"/>
      <c r="T199" s="91"/>
      <c r="U199" s="91"/>
      <c r="V199" s="91"/>
      <c r="W199" s="91"/>
    </row>
    <row r="200" spans="2:23" ht="14.4" hidden="1" outlineLevel="1" x14ac:dyDescent="0.3">
      <c r="B200" s="425">
        <f t="shared" si="4"/>
        <v>14</v>
      </c>
      <c r="C200" s="95" t="s">
        <v>456</v>
      </c>
      <c r="D200" s="474"/>
      <c r="E200" s="474"/>
      <c r="F200" s="91"/>
      <c r="G200" s="91"/>
      <c r="H200" s="91"/>
      <c r="I200" s="91"/>
      <c r="J200" s="91"/>
      <c r="K200" s="91"/>
      <c r="L200" s="91"/>
      <c r="M200" s="91"/>
      <c r="N200" s="91"/>
      <c r="O200" s="91"/>
      <c r="P200" s="91"/>
      <c r="Q200" s="91"/>
      <c r="R200" s="91"/>
      <c r="S200" s="91"/>
      <c r="T200" s="91"/>
      <c r="U200" s="91"/>
      <c r="V200" s="91"/>
      <c r="W200" s="91"/>
    </row>
    <row r="201" spans="2:23" ht="14.4" hidden="1" outlineLevel="1" x14ac:dyDescent="0.3">
      <c r="B201" s="425">
        <f t="shared" si="4"/>
        <v>15</v>
      </c>
      <c r="C201" s="95" t="s">
        <v>456</v>
      </c>
      <c r="D201" s="474"/>
      <c r="E201" s="474"/>
      <c r="F201" s="91"/>
      <c r="G201" s="91"/>
      <c r="H201" s="91"/>
      <c r="I201" s="91"/>
      <c r="J201" s="91"/>
      <c r="K201" s="91"/>
      <c r="L201" s="91"/>
      <c r="M201" s="91"/>
      <c r="N201" s="91"/>
      <c r="O201" s="91"/>
      <c r="P201" s="91"/>
      <c r="Q201" s="91"/>
      <c r="R201" s="91"/>
      <c r="S201" s="91"/>
      <c r="T201" s="91"/>
      <c r="U201" s="91"/>
      <c r="V201" s="91"/>
      <c r="W201" s="91"/>
    </row>
    <row r="202" spans="2:23" ht="14.4" hidden="1" outlineLevel="1" x14ac:dyDescent="0.3">
      <c r="B202" s="425">
        <f t="shared" si="4"/>
        <v>16</v>
      </c>
      <c r="C202" s="95" t="s">
        <v>456</v>
      </c>
      <c r="D202" s="474"/>
      <c r="E202" s="474"/>
      <c r="F202" s="91"/>
      <c r="G202" s="91"/>
      <c r="H202" s="91"/>
      <c r="I202" s="91"/>
      <c r="J202" s="91"/>
      <c r="K202" s="91"/>
      <c r="L202" s="91"/>
      <c r="M202" s="91"/>
      <c r="N202" s="91"/>
      <c r="O202" s="91"/>
      <c r="P202" s="91"/>
      <c r="Q202" s="91"/>
      <c r="R202" s="91"/>
      <c r="S202" s="91"/>
      <c r="T202" s="91"/>
      <c r="U202" s="91"/>
      <c r="V202" s="91"/>
      <c r="W202" s="91"/>
    </row>
    <row r="203" spans="2:23" ht="14.4" hidden="1" outlineLevel="1" x14ac:dyDescent="0.3">
      <c r="B203" s="425">
        <f t="shared" si="4"/>
        <v>17</v>
      </c>
      <c r="C203" s="95" t="s">
        <v>456</v>
      </c>
      <c r="D203" s="474"/>
      <c r="E203" s="474"/>
      <c r="F203" s="91"/>
      <c r="G203" s="91"/>
      <c r="H203" s="91"/>
      <c r="I203" s="91"/>
      <c r="J203" s="91"/>
      <c r="K203" s="91"/>
      <c r="L203" s="91"/>
      <c r="M203" s="91"/>
      <c r="N203" s="91"/>
      <c r="O203" s="91"/>
      <c r="P203" s="91"/>
      <c r="Q203" s="91"/>
      <c r="R203" s="91"/>
      <c r="S203" s="91"/>
      <c r="T203" s="91"/>
      <c r="U203" s="91"/>
      <c r="V203" s="91"/>
      <c r="W203" s="91"/>
    </row>
    <row r="204" spans="2:23" ht="14.4" hidden="1" outlineLevel="1" x14ac:dyDescent="0.3">
      <c r="B204" s="425">
        <f t="shared" si="4"/>
        <v>18</v>
      </c>
      <c r="C204" s="95" t="s">
        <v>456</v>
      </c>
      <c r="D204" s="474"/>
      <c r="E204" s="474"/>
      <c r="F204" s="91"/>
      <c r="G204" s="91"/>
      <c r="H204" s="91"/>
      <c r="I204" s="91"/>
      <c r="J204" s="91"/>
      <c r="K204" s="91"/>
      <c r="L204" s="91"/>
      <c r="M204" s="91"/>
      <c r="N204" s="91"/>
      <c r="O204" s="91"/>
      <c r="P204" s="91"/>
      <c r="Q204" s="91"/>
      <c r="R204" s="91"/>
      <c r="S204" s="91"/>
      <c r="T204" s="91"/>
      <c r="U204" s="91"/>
      <c r="V204" s="91"/>
      <c r="W204" s="91"/>
    </row>
    <row r="205" spans="2:23" ht="14.4" hidden="1" outlineLevel="1" x14ac:dyDescent="0.3">
      <c r="B205" s="425">
        <f t="shared" si="4"/>
        <v>19</v>
      </c>
      <c r="C205" s="95" t="s">
        <v>456</v>
      </c>
      <c r="D205" s="474"/>
      <c r="E205" s="474"/>
      <c r="F205" s="91"/>
      <c r="G205" s="91"/>
      <c r="H205" s="91"/>
      <c r="I205" s="91"/>
      <c r="J205" s="91"/>
      <c r="K205" s="91"/>
      <c r="L205" s="91"/>
      <c r="M205" s="91"/>
      <c r="N205" s="91"/>
      <c r="O205" s="91"/>
      <c r="P205" s="91"/>
      <c r="Q205" s="91"/>
      <c r="R205" s="91"/>
      <c r="S205" s="91"/>
      <c r="T205" s="91"/>
      <c r="U205" s="91"/>
      <c r="V205" s="91"/>
      <c r="W205" s="91"/>
    </row>
    <row r="206" spans="2:23" ht="14.4" hidden="1" outlineLevel="1" x14ac:dyDescent="0.3">
      <c r="B206" s="425">
        <f t="shared" si="4"/>
        <v>20</v>
      </c>
      <c r="C206" s="95" t="s">
        <v>456</v>
      </c>
      <c r="D206" s="474"/>
      <c r="E206" s="474"/>
      <c r="F206" s="91"/>
      <c r="G206" s="91"/>
      <c r="H206" s="91"/>
      <c r="I206" s="91"/>
      <c r="J206" s="91"/>
      <c r="K206" s="91"/>
      <c r="L206" s="91"/>
      <c r="M206" s="91"/>
      <c r="N206" s="91"/>
      <c r="O206" s="91"/>
      <c r="P206" s="91"/>
      <c r="Q206" s="91"/>
      <c r="R206" s="91"/>
      <c r="S206" s="91"/>
      <c r="T206" s="91"/>
      <c r="U206" s="91"/>
      <c r="V206" s="91"/>
      <c r="W206" s="91"/>
    </row>
    <row r="207" spans="2:23" ht="14.4" hidden="1" outlineLevel="1" x14ac:dyDescent="0.3">
      <c r="B207" s="425">
        <f t="shared" si="4"/>
        <v>21</v>
      </c>
      <c r="C207" s="95" t="s">
        <v>456</v>
      </c>
      <c r="D207" s="474"/>
      <c r="E207" s="474"/>
      <c r="F207" s="91"/>
      <c r="G207" s="91"/>
      <c r="H207" s="91"/>
      <c r="I207" s="91"/>
      <c r="J207" s="91"/>
      <c r="K207" s="91"/>
      <c r="L207" s="91"/>
      <c r="M207" s="91"/>
      <c r="N207" s="91"/>
      <c r="O207" s="91"/>
      <c r="P207" s="91"/>
      <c r="Q207" s="91"/>
      <c r="R207" s="91"/>
      <c r="S207" s="91"/>
      <c r="T207" s="91"/>
      <c r="U207" s="91"/>
      <c r="V207" s="91"/>
      <c r="W207" s="91"/>
    </row>
    <row r="208" spans="2:23" ht="14.4" hidden="1" outlineLevel="1" x14ac:dyDescent="0.3">
      <c r="B208" s="425">
        <f t="shared" si="4"/>
        <v>22</v>
      </c>
      <c r="C208" s="95" t="s">
        <v>456</v>
      </c>
      <c r="D208" s="474"/>
      <c r="E208" s="474"/>
      <c r="F208" s="91"/>
      <c r="G208" s="91"/>
      <c r="H208" s="91"/>
      <c r="I208" s="91"/>
      <c r="J208" s="91"/>
      <c r="K208" s="91"/>
      <c r="L208" s="91"/>
      <c r="M208" s="91"/>
      <c r="N208" s="91"/>
      <c r="O208" s="91"/>
      <c r="P208" s="91"/>
      <c r="Q208" s="91"/>
      <c r="R208" s="91"/>
      <c r="S208" s="91"/>
      <c r="T208" s="91"/>
      <c r="U208" s="91"/>
      <c r="V208" s="91"/>
      <c r="W208" s="91"/>
    </row>
    <row r="209" spans="2:23" ht="14.4" hidden="1" outlineLevel="1" x14ac:dyDescent="0.3">
      <c r="B209" s="425">
        <f t="shared" si="4"/>
        <v>23</v>
      </c>
      <c r="C209" s="95" t="s">
        <v>456</v>
      </c>
      <c r="D209" s="474"/>
      <c r="E209" s="474"/>
      <c r="F209" s="91"/>
      <c r="G209" s="91"/>
      <c r="H209" s="91"/>
      <c r="I209" s="91"/>
      <c r="J209" s="91"/>
      <c r="K209" s="91"/>
      <c r="L209" s="91"/>
      <c r="M209" s="91"/>
      <c r="N209" s="91"/>
      <c r="O209" s="91"/>
      <c r="P209" s="91"/>
      <c r="Q209" s="91"/>
      <c r="R209" s="91"/>
      <c r="S209" s="91"/>
      <c r="T209" s="91"/>
      <c r="U209" s="91"/>
      <c r="V209" s="91"/>
      <c r="W209" s="91"/>
    </row>
    <row r="210" spans="2:23" ht="14.4" hidden="1" outlineLevel="1" x14ac:dyDescent="0.3">
      <c r="B210" s="425">
        <f t="shared" si="4"/>
        <v>24</v>
      </c>
      <c r="C210" s="95" t="s">
        <v>456</v>
      </c>
      <c r="D210" s="474"/>
      <c r="E210" s="474"/>
      <c r="F210" s="91"/>
      <c r="G210" s="91"/>
      <c r="H210" s="91"/>
      <c r="I210" s="91"/>
      <c r="J210" s="91"/>
      <c r="K210" s="91"/>
      <c r="L210" s="91"/>
      <c r="M210" s="91"/>
      <c r="N210" s="91"/>
      <c r="O210" s="91"/>
      <c r="P210" s="91"/>
      <c r="Q210" s="91"/>
      <c r="R210" s="91"/>
      <c r="S210" s="91"/>
      <c r="T210" s="91"/>
      <c r="U210" s="91"/>
      <c r="V210" s="91"/>
      <c r="W210" s="91"/>
    </row>
    <row r="211" spans="2:23" ht="14.4" hidden="1" outlineLevel="1" x14ac:dyDescent="0.3">
      <c r="B211" s="425">
        <f t="shared" si="4"/>
        <v>25</v>
      </c>
      <c r="C211" s="95" t="s">
        <v>456</v>
      </c>
      <c r="D211" s="474"/>
      <c r="E211" s="474"/>
      <c r="F211" s="91"/>
      <c r="G211" s="91"/>
      <c r="H211" s="91"/>
      <c r="I211" s="91"/>
      <c r="J211" s="91"/>
      <c r="K211" s="91"/>
      <c r="L211" s="91"/>
      <c r="M211" s="91"/>
      <c r="N211" s="91"/>
      <c r="O211" s="91"/>
      <c r="P211" s="91"/>
      <c r="Q211" s="91"/>
      <c r="R211" s="91"/>
      <c r="S211" s="91"/>
      <c r="T211" s="91"/>
      <c r="U211" s="91"/>
      <c r="V211" s="91"/>
      <c r="W211" s="91"/>
    </row>
    <row r="212" spans="2:23" ht="14.4" hidden="1" outlineLevel="1" x14ac:dyDescent="0.3">
      <c r="B212" s="425">
        <f t="shared" si="4"/>
        <v>26</v>
      </c>
      <c r="C212" s="95" t="s">
        <v>456</v>
      </c>
      <c r="D212" s="474"/>
      <c r="E212" s="474"/>
      <c r="F212" s="91"/>
      <c r="G212" s="91"/>
      <c r="H212" s="91"/>
      <c r="I212" s="91"/>
      <c r="J212" s="91"/>
      <c r="K212" s="91"/>
      <c r="L212" s="91"/>
      <c r="M212" s="91"/>
      <c r="N212" s="91"/>
      <c r="O212" s="91"/>
      <c r="P212" s="91"/>
      <c r="Q212" s="91"/>
      <c r="R212" s="91"/>
      <c r="S212" s="91"/>
      <c r="T212" s="91"/>
      <c r="U212" s="91"/>
      <c r="V212" s="91"/>
      <c r="W212" s="91"/>
    </row>
    <row r="213" spans="2:23" ht="14.4" hidden="1" outlineLevel="1" x14ac:dyDescent="0.3">
      <c r="B213" s="425">
        <f t="shared" si="4"/>
        <v>27</v>
      </c>
      <c r="C213" s="95" t="s">
        <v>456</v>
      </c>
      <c r="D213" s="474"/>
      <c r="E213" s="474"/>
      <c r="F213" s="91"/>
      <c r="G213" s="91"/>
      <c r="H213" s="91"/>
      <c r="I213" s="91"/>
      <c r="J213" s="91"/>
      <c r="K213" s="91"/>
      <c r="L213" s="91"/>
      <c r="M213" s="91"/>
      <c r="N213" s="91"/>
      <c r="O213" s="91"/>
      <c r="P213" s="91"/>
      <c r="Q213" s="91"/>
      <c r="R213" s="91"/>
      <c r="S213" s="91"/>
      <c r="T213" s="91"/>
      <c r="U213" s="91"/>
      <c r="V213" s="91"/>
      <c r="W213" s="91"/>
    </row>
    <row r="214" spans="2:23" ht="14.4" hidden="1" outlineLevel="1" x14ac:dyDescent="0.3">
      <c r="B214" s="425">
        <f t="shared" si="4"/>
        <v>28</v>
      </c>
      <c r="C214" s="95" t="s">
        <v>456</v>
      </c>
      <c r="D214" s="474"/>
      <c r="E214" s="474"/>
      <c r="F214" s="91"/>
      <c r="G214" s="91"/>
      <c r="H214" s="91"/>
      <c r="I214" s="91"/>
      <c r="J214" s="91"/>
      <c r="K214" s="91"/>
      <c r="L214" s="91"/>
      <c r="M214" s="91"/>
      <c r="N214" s="91"/>
      <c r="O214" s="91"/>
      <c r="P214" s="91"/>
      <c r="Q214" s="91"/>
      <c r="R214" s="91"/>
      <c r="S214" s="91"/>
      <c r="T214" s="91"/>
      <c r="U214" s="91"/>
      <c r="V214" s="91"/>
      <c r="W214" s="91"/>
    </row>
    <row r="215" spans="2:23" ht="14.4" hidden="1" outlineLevel="1" x14ac:dyDescent="0.3">
      <c r="B215" s="425">
        <f t="shared" si="4"/>
        <v>29</v>
      </c>
      <c r="C215" s="95" t="s">
        <v>456</v>
      </c>
      <c r="D215" s="474"/>
      <c r="E215" s="474"/>
      <c r="F215" s="91"/>
      <c r="G215" s="91"/>
      <c r="H215" s="91"/>
      <c r="I215" s="91"/>
      <c r="J215" s="91"/>
      <c r="K215" s="91"/>
      <c r="L215" s="91"/>
      <c r="M215" s="91"/>
      <c r="N215" s="91"/>
      <c r="O215" s="91"/>
      <c r="P215" s="91"/>
      <c r="Q215" s="91"/>
      <c r="R215" s="91"/>
      <c r="S215" s="91"/>
      <c r="T215" s="91"/>
      <c r="U215" s="91"/>
      <c r="V215" s="91"/>
      <c r="W215" s="91"/>
    </row>
    <row r="216" spans="2:23" ht="14.4" hidden="1" outlineLevel="1" x14ac:dyDescent="0.3">
      <c r="B216" s="425">
        <f t="shared" si="4"/>
        <v>30</v>
      </c>
      <c r="C216" s="95" t="s">
        <v>456</v>
      </c>
      <c r="D216" s="474"/>
      <c r="E216" s="474"/>
      <c r="F216" s="91"/>
      <c r="G216" s="91"/>
      <c r="H216" s="91"/>
      <c r="I216" s="91"/>
      <c r="J216" s="91"/>
      <c r="K216" s="91"/>
      <c r="L216" s="91"/>
      <c r="M216" s="91"/>
      <c r="N216" s="91"/>
      <c r="O216" s="91"/>
      <c r="P216" s="91"/>
      <c r="Q216" s="91"/>
      <c r="R216" s="91"/>
      <c r="S216" s="91"/>
      <c r="T216" s="91"/>
      <c r="U216" s="91"/>
      <c r="V216" s="91"/>
      <c r="W216" s="91"/>
    </row>
    <row r="217" spans="2:23" ht="14.4" hidden="1" outlineLevel="1" x14ac:dyDescent="0.3">
      <c r="B217" s="425">
        <f t="shared" si="4"/>
        <v>31</v>
      </c>
      <c r="C217" s="95" t="s">
        <v>456</v>
      </c>
      <c r="D217" s="474"/>
      <c r="E217" s="474"/>
      <c r="F217" s="91"/>
      <c r="G217" s="91"/>
      <c r="H217" s="91"/>
      <c r="I217" s="91"/>
      <c r="J217" s="91"/>
      <c r="K217" s="91"/>
      <c r="L217" s="91"/>
      <c r="M217" s="91"/>
      <c r="N217" s="91"/>
      <c r="O217" s="91"/>
      <c r="P217" s="91"/>
      <c r="Q217" s="91"/>
      <c r="R217" s="91"/>
      <c r="S217" s="91"/>
      <c r="T217" s="91"/>
      <c r="U217" s="91"/>
      <c r="V217" s="91"/>
      <c r="W217" s="91"/>
    </row>
    <row r="218" spans="2:23" ht="14.4" hidden="1" outlineLevel="1" x14ac:dyDescent="0.3">
      <c r="B218" s="425">
        <f t="shared" si="4"/>
        <v>32</v>
      </c>
      <c r="C218" s="95" t="s">
        <v>456</v>
      </c>
      <c r="D218" s="474"/>
      <c r="E218" s="474"/>
      <c r="F218" s="91"/>
      <c r="G218" s="91"/>
      <c r="H218" s="91"/>
      <c r="I218" s="91"/>
      <c r="J218" s="91"/>
      <c r="K218" s="91"/>
      <c r="L218" s="91"/>
      <c r="M218" s="91"/>
      <c r="N218" s="91"/>
      <c r="O218" s="91"/>
      <c r="P218" s="91"/>
      <c r="Q218" s="91"/>
      <c r="R218" s="91"/>
      <c r="S218" s="91"/>
      <c r="T218" s="91"/>
      <c r="U218" s="91"/>
      <c r="V218" s="91"/>
      <c r="W218" s="91"/>
    </row>
    <row r="219" spans="2:23" ht="14.4" hidden="1" outlineLevel="1" x14ac:dyDescent="0.3">
      <c r="B219" s="425">
        <f t="shared" si="4"/>
        <v>33</v>
      </c>
      <c r="C219" s="95" t="s">
        <v>456</v>
      </c>
      <c r="D219" s="474"/>
      <c r="E219" s="474"/>
      <c r="F219" s="91"/>
      <c r="G219" s="91"/>
      <c r="H219" s="91"/>
      <c r="I219" s="91"/>
      <c r="J219" s="91"/>
      <c r="K219" s="91"/>
      <c r="L219" s="91"/>
      <c r="M219" s="91"/>
      <c r="N219" s="91"/>
      <c r="O219" s="91"/>
      <c r="P219" s="91"/>
      <c r="Q219" s="91"/>
      <c r="R219" s="91"/>
      <c r="S219" s="91"/>
      <c r="T219" s="91"/>
      <c r="U219" s="91"/>
      <c r="V219" s="91"/>
      <c r="W219" s="91"/>
    </row>
    <row r="220" spans="2:23" ht="14.4" hidden="1" outlineLevel="1" x14ac:dyDescent="0.3">
      <c r="B220" s="425">
        <f t="shared" si="4"/>
        <v>34</v>
      </c>
      <c r="C220" s="95" t="s">
        <v>456</v>
      </c>
      <c r="D220" s="474"/>
      <c r="E220" s="474"/>
      <c r="F220" s="91"/>
      <c r="G220" s="91"/>
      <c r="H220" s="91"/>
      <c r="I220" s="91"/>
      <c r="J220" s="91"/>
      <c r="K220" s="91"/>
      <c r="L220" s="91"/>
      <c r="M220" s="91"/>
      <c r="N220" s="91"/>
      <c r="O220" s="91"/>
      <c r="P220" s="91"/>
      <c r="Q220" s="91"/>
      <c r="R220" s="91"/>
      <c r="S220" s="91"/>
      <c r="T220" s="91"/>
      <c r="U220" s="91"/>
      <c r="V220" s="91"/>
      <c r="W220" s="91"/>
    </row>
    <row r="221" spans="2:23" ht="14.4" hidden="1" outlineLevel="1" x14ac:dyDescent="0.3">
      <c r="B221" s="425">
        <f t="shared" si="4"/>
        <v>35</v>
      </c>
      <c r="C221" s="95" t="s">
        <v>456</v>
      </c>
      <c r="D221" s="474"/>
      <c r="E221" s="474"/>
      <c r="F221" s="91"/>
      <c r="G221" s="91"/>
      <c r="H221" s="91"/>
      <c r="I221" s="91"/>
      <c r="J221" s="91"/>
      <c r="K221" s="91"/>
      <c r="L221" s="91"/>
      <c r="M221" s="91"/>
      <c r="N221" s="91"/>
      <c r="O221" s="91"/>
      <c r="P221" s="91"/>
      <c r="Q221" s="91"/>
      <c r="R221" s="91"/>
      <c r="S221" s="91"/>
      <c r="T221" s="91"/>
      <c r="U221" s="91"/>
      <c r="V221" s="91"/>
      <c r="W221" s="91"/>
    </row>
    <row r="222" spans="2:23" ht="14.4" hidden="1" outlineLevel="1" x14ac:dyDescent="0.3">
      <c r="B222" s="425">
        <f t="shared" si="4"/>
        <v>36</v>
      </c>
      <c r="C222" s="95" t="s">
        <v>456</v>
      </c>
      <c r="D222" s="474"/>
      <c r="E222" s="474"/>
      <c r="F222" s="91"/>
      <c r="G222" s="91"/>
      <c r="H222" s="91"/>
      <c r="I222" s="91"/>
      <c r="J222" s="91"/>
      <c r="K222" s="91"/>
      <c r="L222" s="91"/>
      <c r="M222" s="91"/>
      <c r="N222" s="91"/>
      <c r="O222" s="91"/>
      <c r="P222" s="91"/>
      <c r="Q222" s="91"/>
      <c r="R222" s="91"/>
      <c r="S222" s="91"/>
      <c r="T222" s="91"/>
      <c r="U222" s="91"/>
      <c r="V222" s="91"/>
      <c r="W222" s="91"/>
    </row>
    <row r="223" spans="2:23" ht="14.4" hidden="1" outlineLevel="1" x14ac:dyDescent="0.3">
      <c r="B223" s="425">
        <f t="shared" si="4"/>
        <v>37</v>
      </c>
      <c r="C223" s="95" t="s">
        <v>456</v>
      </c>
      <c r="D223" s="474"/>
      <c r="E223" s="474"/>
      <c r="F223" s="91"/>
      <c r="G223" s="91"/>
      <c r="H223" s="91"/>
      <c r="I223" s="91"/>
      <c r="J223" s="91"/>
      <c r="K223" s="91"/>
      <c r="L223" s="91"/>
      <c r="M223" s="91"/>
      <c r="N223" s="91"/>
      <c r="O223" s="91"/>
      <c r="P223" s="91"/>
      <c r="Q223" s="91"/>
      <c r="R223" s="91"/>
      <c r="S223" s="91"/>
      <c r="T223" s="91"/>
      <c r="U223" s="91"/>
      <c r="V223" s="91"/>
      <c r="W223" s="91"/>
    </row>
    <row r="224" spans="2:23" ht="14.4" hidden="1" outlineLevel="1" x14ac:dyDescent="0.3">
      <c r="B224" s="425">
        <f t="shared" si="4"/>
        <v>38</v>
      </c>
      <c r="C224" s="95" t="s">
        <v>456</v>
      </c>
      <c r="D224" s="474"/>
      <c r="E224" s="474"/>
      <c r="F224" s="91"/>
      <c r="G224" s="91"/>
      <c r="H224" s="91"/>
      <c r="I224" s="91"/>
      <c r="J224" s="91"/>
      <c r="K224" s="91"/>
      <c r="L224" s="91"/>
      <c r="M224" s="91"/>
      <c r="N224" s="91"/>
      <c r="O224" s="91"/>
      <c r="P224" s="91"/>
      <c r="Q224" s="91"/>
      <c r="R224" s="91"/>
      <c r="S224" s="91"/>
      <c r="T224" s="91"/>
      <c r="U224" s="91"/>
      <c r="V224" s="91"/>
      <c r="W224" s="91"/>
    </row>
    <row r="225" spans="2:23" ht="14.4" hidden="1" outlineLevel="1" x14ac:dyDescent="0.3">
      <c r="B225" s="425">
        <f t="shared" si="4"/>
        <v>39</v>
      </c>
      <c r="C225" s="95" t="s">
        <v>456</v>
      </c>
      <c r="D225" s="474"/>
      <c r="E225" s="474"/>
      <c r="F225" s="91"/>
      <c r="G225" s="91"/>
      <c r="H225" s="91"/>
      <c r="I225" s="91"/>
      <c r="J225" s="91"/>
      <c r="K225" s="91"/>
      <c r="L225" s="91"/>
      <c r="M225" s="91"/>
      <c r="N225" s="91"/>
      <c r="O225" s="91"/>
      <c r="P225" s="91"/>
      <c r="Q225" s="91"/>
      <c r="R225" s="91"/>
      <c r="S225" s="91"/>
      <c r="T225" s="91"/>
      <c r="U225" s="91"/>
      <c r="V225" s="91"/>
      <c r="W225" s="91"/>
    </row>
    <row r="226" spans="2:23" ht="14.4" hidden="1" outlineLevel="1" x14ac:dyDescent="0.3">
      <c r="B226" s="425">
        <f t="shared" si="4"/>
        <v>40</v>
      </c>
      <c r="C226" s="95" t="s">
        <v>456</v>
      </c>
      <c r="D226" s="474"/>
      <c r="E226" s="474"/>
      <c r="F226" s="91"/>
      <c r="G226" s="91"/>
      <c r="H226" s="91"/>
      <c r="I226" s="91"/>
      <c r="J226" s="91"/>
      <c r="K226" s="91"/>
      <c r="L226" s="91"/>
      <c r="M226" s="91"/>
      <c r="N226" s="91"/>
      <c r="O226" s="91"/>
      <c r="P226" s="91"/>
      <c r="Q226" s="91"/>
      <c r="R226" s="91"/>
      <c r="S226" s="91"/>
      <c r="T226" s="91"/>
      <c r="U226" s="91"/>
      <c r="V226" s="91"/>
      <c r="W226" s="91"/>
    </row>
    <row r="227" spans="2:23" ht="14.4" hidden="1" outlineLevel="1" x14ac:dyDescent="0.3">
      <c r="B227" s="425">
        <f t="shared" si="4"/>
        <v>41</v>
      </c>
      <c r="C227" s="95" t="s">
        <v>456</v>
      </c>
      <c r="D227" s="474"/>
      <c r="E227" s="474"/>
      <c r="F227" s="91"/>
      <c r="G227" s="91"/>
      <c r="H227" s="91"/>
      <c r="I227" s="91"/>
      <c r="J227" s="91"/>
      <c r="K227" s="91"/>
      <c r="L227" s="91"/>
      <c r="M227" s="91"/>
      <c r="N227" s="91"/>
      <c r="O227" s="91"/>
      <c r="P227" s="91"/>
      <c r="Q227" s="91"/>
      <c r="R227" s="91"/>
      <c r="S227" s="91"/>
      <c r="T227" s="91"/>
      <c r="U227" s="91"/>
      <c r="V227" s="91"/>
      <c r="W227" s="91"/>
    </row>
    <row r="228" spans="2:23" ht="14.4" hidden="1" outlineLevel="1" x14ac:dyDescent="0.3">
      <c r="B228" s="425">
        <f t="shared" si="4"/>
        <v>42</v>
      </c>
      <c r="C228" s="95" t="s">
        <v>456</v>
      </c>
      <c r="D228" s="474"/>
      <c r="E228" s="474"/>
      <c r="F228" s="91"/>
      <c r="G228" s="91"/>
      <c r="H228" s="91"/>
      <c r="I228" s="91"/>
      <c r="J228" s="91"/>
      <c r="K228" s="91"/>
      <c r="L228" s="91"/>
      <c r="M228" s="91"/>
      <c r="N228" s="91"/>
      <c r="O228" s="91"/>
      <c r="P228" s="91"/>
      <c r="Q228" s="91"/>
      <c r="R228" s="91"/>
      <c r="S228" s="91"/>
      <c r="T228" s="91"/>
      <c r="U228" s="91"/>
      <c r="V228" s="91"/>
      <c r="W228" s="91"/>
    </row>
    <row r="229" spans="2:23" ht="14.4" hidden="1" outlineLevel="1" x14ac:dyDescent="0.3">
      <c r="B229" s="425">
        <f t="shared" si="4"/>
        <v>43</v>
      </c>
      <c r="C229" s="95" t="s">
        <v>456</v>
      </c>
      <c r="D229" s="474"/>
      <c r="E229" s="474"/>
      <c r="F229" s="91"/>
      <c r="G229" s="91"/>
      <c r="H229" s="91"/>
      <c r="I229" s="91"/>
      <c r="J229" s="91"/>
      <c r="K229" s="91"/>
      <c r="L229" s="91"/>
      <c r="M229" s="91"/>
      <c r="N229" s="91"/>
      <c r="O229" s="91"/>
      <c r="P229" s="91"/>
      <c r="Q229" s="91"/>
      <c r="R229" s="91"/>
      <c r="S229" s="91"/>
      <c r="T229" s="91"/>
      <c r="U229" s="91"/>
      <c r="V229" s="91"/>
      <c r="W229" s="91"/>
    </row>
    <row r="230" spans="2:23" ht="14.4" hidden="1" outlineLevel="1" x14ac:dyDescent="0.3">
      <c r="B230" s="425">
        <f t="shared" si="4"/>
        <v>44</v>
      </c>
      <c r="C230" s="95" t="s">
        <v>456</v>
      </c>
      <c r="D230" s="474"/>
      <c r="E230" s="474"/>
      <c r="F230" s="91"/>
      <c r="G230" s="91"/>
      <c r="H230" s="91"/>
      <c r="I230" s="91"/>
      <c r="J230" s="91"/>
      <c r="K230" s="91"/>
      <c r="L230" s="91"/>
      <c r="M230" s="91"/>
      <c r="N230" s="91"/>
      <c r="O230" s="91"/>
      <c r="P230" s="91"/>
      <c r="Q230" s="91"/>
      <c r="R230" s="91"/>
      <c r="S230" s="91"/>
      <c r="T230" s="91"/>
      <c r="U230" s="91"/>
      <c r="V230" s="91"/>
      <c r="W230" s="91"/>
    </row>
    <row r="231" spans="2:23" ht="14.4" hidden="1" outlineLevel="1" x14ac:dyDescent="0.3">
      <c r="B231" s="425">
        <f t="shared" si="4"/>
        <v>45</v>
      </c>
      <c r="C231" s="95" t="s">
        <v>456</v>
      </c>
      <c r="D231" s="474"/>
      <c r="E231" s="474"/>
      <c r="F231" s="91"/>
      <c r="G231" s="91"/>
      <c r="H231" s="91"/>
      <c r="I231" s="91"/>
      <c r="J231" s="91"/>
      <c r="K231" s="91"/>
      <c r="L231" s="91"/>
      <c r="M231" s="91"/>
      <c r="N231" s="91"/>
      <c r="O231" s="91"/>
      <c r="P231" s="91"/>
      <c r="Q231" s="91"/>
      <c r="R231" s="91"/>
      <c r="S231" s="91"/>
      <c r="T231" s="91"/>
      <c r="U231" s="91"/>
      <c r="V231" s="91"/>
      <c r="W231" s="91"/>
    </row>
    <row r="232" spans="2:23" ht="14.4" hidden="1" outlineLevel="1" x14ac:dyDescent="0.3">
      <c r="B232" s="425">
        <f t="shared" si="4"/>
        <v>46</v>
      </c>
      <c r="C232" s="95" t="s">
        <v>456</v>
      </c>
      <c r="D232" s="474"/>
      <c r="E232" s="474"/>
      <c r="F232" s="91"/>
      <c r="G232" s="91"/>
      <c r="H232" s="91"/>
      <c r="I232" s="91"/>
      <c r="J232" s="91"/>
      <c r="K232" s="91"/>
      <c r="L232" s="91"/>
      <c r="M232" s="91"/>
      <c r="N232" s="91"/>
      <c r="O232" s="91"/>
      <c r="P232" s="91"/>
      <c r="Q232" s="91"/>
      <c r="R232" s="91"/>
      <c r="S232" s="91"/>
      <c r="T232" s="91"/>
      <c r="U232" s="91"/>
      <c r="V232" s="91"/>
      <c r="W232" s="91"/>
    </row>
    <row r="233" spans="2:23" ht="14.4" hidden="1" outlineLevel="1" x14ac:dyDescent="0.3">
      <c r="B233" s="425">
        <f t="shared" si="4"/>
        <v>47</v>
      </c>
      <c r="C233" s="95" t="s">
        <v>456</v>
      </c>
      <c r="D233" s="474"/>
      <c r="E233" s="474"/>
      <c r="F233" s="91"/>
      <c r="G233" s="91"/>
      <c r="H233" s="91"/>
      <c r="I233" s="91"/>
      <c r="J233" s="91"/>
      <c r="K233" s="91"/>
      <c r="L233" s="91"/>
      <c r="M233" s="91"/>
      <c r="N233" s="91"/>
      <c r="O233" s="91"/>
      <c r="P233" s="91"/>
      <c r="Q233" s="91"/>
      <c r="R233" s="91"/>
      <c r="S233" s="91"/>
      <c r="T233" s="91"/>
      <c r="U233" s="91"/>
      <c r="V233" s="91"/>
      <c r="W233" s="91"/>
    </row>
    <row r="234" spans="2:23" ht="14.4" hidden="1" outlineLevel="1" x14ac:dyDescent="0.3">
      <c r="B234" s="425">
        <f t="shared" si="4"/>
        <v>48</v>
      </c>
      <c r="C234" s="95" t="s">
        <v>456</v>
      </c>
      <c r="D234" s="474"/>
      <c r="E234" s="474"/>
      <c r="F234" s="91"/>
      <c r="G234" s="91"/>
      <c r="H234" s="91"/>
      <c r="I234" s="91"/>
      <c r="J234" s="91"/>
      <c r="K234" s="91"/>
      <c r="L234" s="91"/>
      <c r="M234" s="91"/>
      <c r="N234" s="91"/>
      <c r="O234" s="91"/>
      <c r="P234" s="91"/>
      <c r="Q234" s="91"/>
      <c r="R234" s="91"/>
      <c r="S234" s="91"/>
      <c r="T234" s="91"/>
      <c r="U234" s="91"/>
      <c r="V234" s="91"/>
      <c r="W234" s="91"/>
    </row>
    <row r="235" spans="2:23" ht="14.4" hidden="1" outlineLevel="1" x14ac:dyDescent="0.3">
      <c r="B235" s="425">
        <f t="shared" si="4"/>
        <v>49</v>
      </c>
      <c r="C235" s="95" t="s">
        <v>456</v>
      </c>
      <c r="D235" s="474"/>
      <c r="E235" s="474"/>
      <c r="F235" s="91"/>
      <c r="G235" s="91"/>
      <c r="H235" s="91"/>
      <c r="I235" s="91"/>
      <c r="J235" s="91"/>
      <c r="K235" s="91"/>
      <c r="L235" s="91"/>
      <c r="M235" s="91"/>
      <c r="N235" s="91"/>
      <c r="O235" s="91"/>
      <c r="P235" s="91"/>
      <c r="Q235" s="91"/>
      <c r="R235" s="91"/>
      <c r="S235" s="91"/>
      <c r="T235" s="91"/>
      <c r="U235" s="91"/>
      <c r="V235" s="91"/>
      <c r="W235" s="91"/>
    </row>
    <row r="236" spans="2:23" ht="14.4" hidden="1" outlineLevel="1" x14ac:dyDescent="0.3">
      <c r="B236" s="425">
        <f t="shared" si="4"/>
        <v>50</v>
      </c>
      <c r="C236" s="95" t="s">
        <v>456</v>
      </c>
      <c r="D236" s="474"/>
      <c r="E236" s="474"/>
      <c r="F236" s="91"/>
      <c r="G236" s="91"/>
      <c r="H236" s="91"/>
      <c r="I236" s="91"/>
      <c r="J236" s="91"/>
      <c r="K236" s="91"/>
      <c r="L236" s="91"/>
      <c r="M236" s="91"/>
      <c r="N236" s="91"/>
      <c r="O236" s="91"/>
      <c r="P236" s="91"/>
      <c r="Q236" s="91"/>
      <c r="R236" s="91"/>
      <c r="S236" s="91"/>
      <c r="T236" s="91"/>
      <c r="U236" s="91"/>
      <c r="V236" s="91"/>
      <c r="W236" s="91"/>
    </row>
    <row r="237" spans="2:23" ht="14.4" hidden="1" outlineLevel="1" x14ac:dyDescent="0.3">
      <c r="B237" s="425">
        <f t="shared" si="4"/>
        <v>51</v>
      </c>
      <c r="C237" s="95" t="s">
        <v>456</v>
      </c>
      <c r="D237" s="474"/>
      <c r="E237" s="474"/>
      <c r="F237" s="91"/>
      <c r="G237" s="91"/>
      <c r="H237" s="91"/>
      <c r="I237" s="91"/>
      <c r="J237" s="91"/>
      <c r="K237" s="91"/>
      <c r="L237" s="91"/>
      <c r="M237" s="91"/>
      <c r="N237" s="91"/>
      <c r="O237" s="91"/>
      <c r="P237" s="91"/>
      <c r="Q237" s="91"/>
      <c r="R237" s="91"/>
      <c r="S237" s="91"/>
      <c r="T237" s="91"/>
      <c r="U237" s="91"/>
      <c r="V237" s="91"/>
      <c r="W237" s="91"/>
    </row>
    <row r="238" spans="2:23" ht="14.4" hidden="1" outlineLevel="1" x14ac:dyDescent="0.3">
      <c r="B238" s="425">
        <f t="shared" si="4"/>
        <v>52</v>
      </c>
      <c r="C238" s="95" t="s">
        <v>456</v>
      </c>
      <c r="D238" s="474"/>
      <c r="E238" s="474"/>
      <c r="F238" s="91"/>
      <c r="G238" s="91"/>
      <c r="H238" s="91"/>
      <c r="I238" s="91"/>
      <c r="J238" s="91"/>
      <c r="K238" s="91"/>
      <c r="L238" s="91"/>
      <c r="M238" s="91"/>
      <c r="N238" s="91"/>
      <c r="O238" s="91"/>
      <c r="P238" s="91"/>
      <c r="Q238" s="91"/>
      <c r="R238" s="91"/>
      <c r="S238" s="91"/>
      <c r="T238" s="91"/>
      <c r="U238" s="91"/>
      <c r="V238" s="91"/>
      <c r="W238" s="91"/>
    </row>
    <row r="239" spans="2:23" ht="14.4" hidden="1" outlineLevel="1" x14ac:dyDescent="0.3">
      <c r="B239" s="425">
        <f t="shared" si="4"/>
        <v>53</v>
      </c>
      <c r="C239" s="95" t="s">
        <v>456</v>
      </c>
      <c r="D239" s="474"/>
      <c r="E239" s="474"/>
      <c r="F239" s="91"/>
      <c r="G239" s="91"/>
      <c r="H239" s="91"/>
      <c r="I239" s="91"/>
      <c r="J239" s="91"/>
      <c r="K239" s="91"/>
      <c r="L239" s="91"/>
      <c r="M239" s="91"/>
      <c r="N239" s="91"/>
      <c r="O239" s="91"/>
      <c r="P239" s="91"/>
      <c r="Q239" s="91"/>
      <c r="R239" s="91"/>
      <c r="S239" s="91"/>
      <c r="T239" s="91"/>
      <c r="U239" s="91"/>
      <c r="V239" s="91"/>
      <c r="W239" s="91"/>
    </row>
    <row r="240" spans="2:23" ht="14.4" hidden="1" outlineLevel="1" x14ac:dyDescent="0.3">
      <c r="B240" s="425">
        <f t="shared" si="4"/>
        <v>54</v>
      </c>
      <c r="C240" s="95" t="s">
        <v>456</v>
      </c>
      <c r="D240" s="474"/>
      <c r="E240" s="474"/>
      <c r="F240" s="91"/>
      <c r="G240" s="91"/>
      <c r="H240" s="91"/>
      <c r="I240" s="91"/>
      <c r="J240" s="91"/>
      <c r="K240" s="91"/>
      <c r="L240" s="91"/>
      <c r="M240" s="91"/>
      <c r="N240" s="91"/>
      <c r="O240" s="91"/>
      <c r="P240" s="91"/>
      <c r="Q240" s="91"/>
      <c r="R240" s="91"/>
      <c r="S240" s="91"/>
      <c r="T240" s="91"/>
      <c r="U240" s="91"/>
      <c r="V240" s="91"/>
      <c r="W240" s="91"/>
    </row>
    <row r="241" spans="2:23" ht="14.4" hidden="1" outlineLevel="1" x14ac:dyDescent="0.3">
      <c r="B241" s="425">
        <f t="shared" si="4"/>
        <v>55</v>
      </c>
      <c r="C241" s="95" t="s">
        <v>456</v>
      </c>
      <c r="D241" s="474"/>
      <c r="E241" s="474"/>
      <c r="F241" s="91"/>
      <c r="G241" s="91"/>
      <c r="H241" s="91"/>
      <c r="I241" s="91"/>
      <c r="J241" s="91"/>
      <c r="K241" s="91"/>
      <c r="L241" s="91"/>
      <c r="M241" s="91"/>
      <c r="N241" s="91"/>
      <c r="O241" s="91"/>
      <c r="P241" s="91"/>
      <c r="Q241" s="91"/>
      <c r="R241" s="91"/>
      <c r="S241" s="91"/>
      <c r="T241" s="91"/>
      <c r="U241" s="91"/>
      <c r="V241" s="91"/>
      <c r="W241" s="91"/>
    </row>
    <row r="242" spans="2:23" ht="14.4" hidden="1" outlineLevel="1" x14ac:dyDescent="0.3">
      <c r="B242" s="425">
        <f t="shared" si="4"/>
        <v>56</v>
      </c>
      <c r="C242" s="95" t="s">
        <v>456</v>
      </c>
      <c r="D242" s="474"/>
      <c r="E242" s="474"/>
      <c r="F242" s="91"/>
      <c r="G242" s="91"/>
      <c r="H242" s="91"/>
      <c r="I242" s="91"/>
      <c r="J242" s="91"/>
      <c r="K242" s="91"/>
      <c r="L242" s="91"/>
      <c r="M242" s="91"/>
      <c r="N242" s="91"/>
      <c r="O242" s="91"/>
      <c r="P242" s="91"/>
      <c r="Q242" s="91"/>
      <c r="R242" s="91"/>
      <c r="S242" s="91"/>
      <c r="T242" s="91"/>
      <c r="U242" s="91"/>
      <c r="V242" s="91"/>
      <c r="W242" s="91"/>
    </row>
    <row r="243" spans="2:23" ht="14.4" hidden="1" outlineLevel="1" x14ac:dyDescent="0.3">
      <c r="B243" s="425">
        <f t="shared" si="4"/>
        <v>57</v>
      </c>
      <c r="C243" s="95" t="s">
        <v>456</v>
      </c>
      <c r="D243" s="474"/>
      <c r="E243" s="474"/>
      <c r="F243" s="91"/>
      <c r="G243" s="91"/>
      <c r="H243" s="91"/>
      <c r="I243" s="91"/>
      <c r="J243" s="91"/>
      <c r="K243" s="91"/>
      <c r="L243" s="91"/>
      <c r="M243" s="91"/>
      <c r="N243" s="91"/>
      <c r="O243" s="91"/>
      <c r="P243" s="91"/>
      <c r="Q243" s="91"/>
      <c r="R243" s="91"/>
      <c r="S243" s="91"/>
      <c r="T243" s="91"/>
      <c r="U243" s="91"/>
      <c r="V243" s="91"/>
      <c r="W243" s="91"/>
    </row>
    <row r="244" spans="2:23" ht="14.4" hidden="1" outlineLevel="1" x14ac:dyDescent="0.3">
      <c r="B244" s="425">
        <f t="shared" si="4"/>
        <v>58</v>
      </c>
      <c r="C244" s="95" t="s">
        <v>456</v>
      </c>
      <c r="D244" s="474"/>
      <c r="E244" s="474"/>
      <c r="F244" s="91"/>
      <c r="G244" s="91"/>
      <c r="H244" s="91"/>
      <c r="I244" s="91"/>
      <c r="J244" s="91"/>
      <c r="K244" s="91"/>
      <c r="L244" s="91"/>
      <c r="M244" s="91"/>
      <c r="N244" s="91"/>
      <c r="O244" s="91"/>
      <c r="P244" s="91"/>
      <c r="Q244" s="91"/>
      <c r="R244" s="91"/>
      <c r="S244" s="91"/>
      <c r="T244" s="91"/>
      <c r="U244" s="91"/>
      <c r="V244" s="91"/>
      <c r="W244" s="91"/>
    </row>
    <row r="245" spans="2:23" ht="14.4" hidden="1" outlineLevel="1" x14ac:dyDescent="0.3">
      <c r="B245" s="425">
        <f t="shared" si="4"/>
        <v>59</v>
      </c>
      <c r="C245" s="95" t="s">
        <v>456</v>
      </c>
      <c r="D245" s="474"/>
      <c r="E245" s="474"/>
      <c r="F245" s="91"/>
      <c r="G245" s="91"/>
      <c r="H245" s="91"/>
      <c r="I245" s="91"/>
      <c r="J245" s="91"/>
      <c r="K245" s="91"/>
      <c r="L245" s="91"/>
      <c r="M245" s="91"/>
      <c r="N245" s="91"/>
      <c r="O245" s="91"/>
      <c r="P245" s="91"/>
      <c r="Q245" s="91"/>
      <c r="R245" s="91"/>
      <c r="S245" s="91"/>
      <c r="T245" s="91"/>
      <c r="U245" s="91"/>
      <c r="V245" s="91"/>
      <c r="W245" s="91"/>
    </row>
    <row r="246" spans="2:23" ht="14.4" hidden="1" outlineLevel="1" x14ac:dyDescent="0.3">
      <c r="B246" s="425">
        <f t="shared" si="4"/>
        <v>60</v>
      </c>
      <c r="C246" s="95" t="s">
        <v>456</v>
      </c>
      <c r="D246" s="474"/>
      <c r="E246" s="474"/>
      <c r="F246" s="91"/>
      <c r="G246" s="91"/>
      <c r="H246" s="91"/>
      <c r="I246" s="91"/>
      <c r="J246" s="91"/>
      <c r="K246" s="91"/>
      <c r="L246" s="91"/>
      <c r="M246" s="91"/>
      <c r="N246" s="91"/>
      <c r="O246" s="91"/>
      <c r="P246" s="91"/>
      <c r="Q246" s="91"/>
      <c r="R246" s="91"/>
      <c r="S246" s="91"/>
      <c r="T246" s="91"/>
      <c r="U246" s="91"/>
      <c r="V246" s="91"/>
      <c r="W246" s="91"/>
    </row>
    <row r="247" spans="2:23" ht="14.4" hidden="1" outlineLevel="1" x14ac:dyDescent="0.3">
      <c r="B247" s="425">
        <f t="shared" si="4"/>
        <v>61</v>
      </c>
      <c r="C247" s="95" t="s">
        <v>456</v>
      </c>
      <c r="D247" s="474"/>
      <c r="E247" s="474"/>
      <c r="F247" s="91"/>
      <c r="G247" s="91"/>
      <c r="H247" s="91"/>
      <c r="I247" s="91"/>
      <c r="J247" s="91"/>
      <c r="K247" s="91"/>
      <c r="L247" s="91"/>
      <c r="M247" s="91"/>
      <c r="N247" s="91"/>
      <c r="O247" s="91"/>
      <c r="P247" s="91"/>
      <c r="Q247" s="91"/>
      <c r="R247" s="91"/>
      <c r="S247" s="91"/>
      <c r="T247" s="91"/>
      <c r="U247" s="91"/>
      <c r="V247" s="91"/>
      <c r="W247" s="91"/>
    </row>
    <row r="248" spans="2:23" ht="14.4" hidden="1" outlineLevel="1" x14ac:dyDescent="0.3">
      <c r="B248" s="425">
        <f t="shared" si="4"/>
        <v>62</v>
      </c>
      <c r="C248" s="95" t="s">
        <v>456</v>
      </c>
      <c r="D248" s="474"/>
      <c r="E248" s="474"/>
      <c r="F248" s="91"/>
      <c r="G248" s="91"/>
      <c r="H248" s="91"/>
      <c r="I248" s="91"/>
      <c r="J248" s="91"/>
      <c r="K248" s="91"/>
      <c r="L248" s="91"/>
      <c r="M248" s="91"/>
      <c r="N248" s="91"/>
      <c r="O248" s="91"/>
      <c r="P248" s="91"/>
      <c r="Q248" s="91"/>
      <c r="R248" s="91"/>
      <c r="S248" s="91"/>
      <c r="T248" s="91"/>
      <c r="U248" s="91"/>
      <c r="V248" s="91"/>
      <c r="W248" s="91"/>
    </row>
    <row r="249" spans="2:23" ht="14.4" hidden="1" outlineLevel="1" x14ac:dyDescent="0.3">
      <c r="B249" s="425">
        <f t="shared" si="4"/>
        <v>63</v>
      </c>
      <c r="C249" s="95" t="s">
        <v>456</v>
      </c>
      <c r="D249" s="474"/>
      <c r="E249" s="474"/>
      <c r="F249" s="91"/>
      <c r="G249" s="91"/>
      <c r="H249" s="91"/>
      <c r="I249" s="91"/>
      <c r="J249" s="91"/>
      <c r="K249" s="91"/>
      <c r="L249" s="91"/>
      <c r="M249" s="91"/>
      <c r="N249" s="91"/>
      <c r="O249" s="91"/>
      <c r="P249" s="91"/>
      <c r="Q249" s="91"/>
      <c r="R249" s="91"/>
      <c r="S249" s="91"/>
      <c r="T249" s="91"/>
      <c r="U249" s="91"/>
      <c r="V249" s="91"/>
      <c r="W249" s="91"/>
    </row>
    <row r="250" spans="2:23" ht="14.4" hidden="1" outlineLevel="1" x14ac:dyDescent="0.3">
      <c r="B250" s="425">
        <f t="shared" si="4"/>
        <v>64</v>
      </c>
      <c r="C250" s="95" t="s">
        <v>456</v>
      </c>
      <c r="D250" s="474"/>
      <c r="E250" s="474"/>
      <c r="F250" s="91"/>
      <c r="G250" s="91"/>
      <c r="H250" s="91"/>
      <c r="I250" s="91"/>
      <c r="J250" s="91"/>
      <c r="K250" s="91"/>
      <c r="L250" s="91"/>
      <c r="M250" s="91"/>
      <c r="N250" s="91"/>
      <c r="O250" s="91"/>
      <c r="P250" s="91"/>
      <c r="Q250" s="91"/>
      <c r="R250" s="91"/>
      <c r="S250" s="91"/>
      <c r="T250" s="91"/>
      <c r="U250" s="91"/>
      <c r="V250" s="91"/>
      <c r="W250" s="91"/>
    </row>
    <row r="251" spans="2:23" ht="14.4" hidden="1" outlineLevel="1" x14ac:dyDescent="0.3">
      <c r="B251" s="425">
        <f t="shared" si="4"/>
        <v>65</v>
      </c>
      <c r="C251" s="95" t="s">
        <v>456</v>
      </c>
      <c r="D251" s="474"/>
      <c r="E251" s="474"/>
      <c r="F251" s="91"/>
      <c r="G251" s="91"/>
      <c r="H251" s="91"/>
      <c r="I251" s="91"/>
      <c r="J251" s="91"/>
      <c r="K251" s="91"/>
      <c r="L251" s="91"/>
      <c r="M251" s="91"/>
      <c r="N251" s="91"/>
      <c r="O251" s="91"/>
      <c r="P251" s="91"/>
      <c r="Q251" s="91"/>
      <c r="R251" s="91"/>
      <c r="S251" s="91"/>
      <c r="T251" s="91"/>
      <c r="U251" s="91"/>
      <c r="V251" s="91"/>
      <c r="W251" s="91"/>
    </row>
    <row r="252" spans="2:23" ht="14.4" hidden="1" outlineLevel="1" x14ac:dyDescent="0.3">
      <c r="B252" s="425">
        <f t="shared" si="4"/>
        <v>66</v>
      </c>
      <c r="C252" s="95" t="s">
        <v>456</v>
      </c>
      <c r="D252" s="474"/>
      <c r="E252" s="474"/>
      <c r="F252" s="91"/>
      <c r="G252" s="91"/>
      <c r="H252" s="91"/>
      <c r="I252" s="91"/>
      <c r="J252" s="91"/>
      <c r="K252" s="91"/>
      <c r="L252" s="91"/>
      <c r="M252" s="91"/>
      <c r="N252" s="91"/>
      <c r="O252" s="91"/>
      <c r="P252" s="91"/>
      <c r="Q252" s="91"/>
      <c r="R252" s="91"/>
      <c r="S252" s="91"/>
      <c r="T252" s="91"/>
      <c r="U252" s="91"/>
      <c r="V252" s="91"/>
      <c r="W252" s="91"/>
    </row>
    <row r="253" spans="2:23" ht="14.4" hidden="1" outlineLevel="1" x14ac:dyDescent="0.3">
      <c r="B253" s="425">
        <f t="shared" ref="B253:B266" si="5">1+B252</f>
        <v>67</v>
      </c>
      <c r="C253" s="95" t="s">
        <v>456</v>
      </c>
      <c r="D253" s="474"/>
      <c r="E253" s="474"/>
      <c r="F253" s="91"/>
      <c r="G253" s="91"/>
      <c r="H253" s="91"/>
      <c r="I253" s="91"/>
      <c r="J253" s="91"/>
      <c r="K253" s="91"/>
      <c r="L253" s="91"/>
      <c r="M253" s="91"/>
      <c r="N253" s="91"/>
      <c r="O253" s="91"/>
      <c r="P253" s="91"/>
      <c r="Q253" s="91"/>
      <c r="R253" s="91"/>
      <c r="S253" s="91"/>
      <c r="T253" s="91"/>
      <c r="U253" s="91"/>
      <c r="V253" s="91"/>
      <c r="W253" s="91"/>
    </row>
    <row r="254" spans="2:23" ht="14.4" hidden="1" outlineLevel="1" x14ac:dyDescent="0.3">
      <c r="B254" s="425">
        <f t="shared" si="5"/>
        <v>68</v>
      </c>
      <c r="C254" s="95" t="s">
        <v>456</v>
      </c>
      <c r="D254" s="474"/>
      <c r="E254" s="474"/>
      <c r="F254" s="91"/>
      <c r="G254" s="91"/>
      <c r="H254" s="91"/>
      <c r="I254" s="91"/>
      <c r="J254" s="91"/>
      <c r="K254" s="91"/>
      <c r="L254" s="91"/>
      <c r="M254" s="91"/>
      <c r="N254" s="91"/>
      <c r="O254" s="91"/>
      <c r="P254" s="91"/>
      <c r="Q254" s="91"/>
      <c r="R254" s="91"/>
      <c r="S254" s="91"/>
      <c r="T254" s="91"/>
      <c r="U254" s="91"/>
      <c r="V254" s="91"/>
      <c r="W254" s="91"/>
    </row>
    <row r="255" spans="2:23" ht="14.4" hidden="1" outlineLevel="1" x14ac:dyDescent="0.3">
      <c r="B255" s="425">
        <f t="shared" si="5"/>
        <v>69</v>
      </c>
      <c r="C255" s="95" t="s">
        <v>456</v>
      </c>
      <c r="D255" s="474"/>
      <c r="E255" s="474"/>
      <c r="F255" s="91"/>
      <c r="G255" s="91"/>
      <c r="H255" s="91"/>
      <c r="I255" s="91"/>
      <c r="J255" s="91"/>
      <c r="K255" s="91"/>
      <c r="L255" s="91"/>
      <c r="M255" s="91"/>
      <c r="N255" s="91"/>
      <c r="O255" s="91"/>
      <c r="P255" s="91"/>
      <c r="Q255" s="91"/>
      <c r="R255" s="91"/>
      <c r="S255" s="91"/>
      <c r="T255" s="91"/>
      <c r="U255" s="91"/>
      <c r="V255" s="91"/>
      <c r="W255" s="91"/>
    </row>
    <row r="256" spans="2:23" ht="14.4" hidden="1" outlineLevel="1" x14ac:dyDescent="0.3">
      <c r="B256" s="425">
        <f t="shared" si="5"/>
        <v>70</v>
      </c>
      <c r="C256" s="95" t="s">
        <v>456</v>
      </c>
      <c r="D256" s="474"/>
      <c r="E256" s="474"/>
      <c r="F256" s="91"/>
      <c r="G256" s="91"/>
      <c r="H256" s="91"/>
      <c r="I256" s="91"/>
      <c r="J256" s="91"/>
      <c r="K256" s="91"/>
      <c r="L256" s="91"/>
      <c r="M256" s="91"/>
      <c r="N256" s="91"/>
      <c r="O256" s="91"/>
      <c r="P256" s="91"/>
      <c r="Q256" s="91"/>
      <c r="R256" s="91"/>
      <c r="S256" s="91"/>
      <c r="T256" s="91"/>
      <c r="U256" s="91"/>
      <c r="V256" s="91"/>
      <c r="W256" s="91"/>
    </row>
    <row r="257" spans="2:43" ht="14.4" hidden="1" outlineLevel="1" x14ac:dyDescent="0.3">
      <c r="B257" s="425">
        <f t="shared" si="5"/>
        <v>71</v>
      </c>
      <c r="C257" s="95" t="s">
        <v>456</v>
      </c>
      <c r="D257" s="474"/>
      <c r="E257" s="474"/>
      <c r="F257" s="91"/>
      <c r="G257" s="91"/>
      <c r="H257" s="91"/>
      <c r="I257" s="91"/>
      <c r="J257" s="91"/>
      <c r="K257" s="91"/>
      <c r="L257" s="91"/>
      <c r="M257" s="91"/>
      <c r="N257" s="91"/>
      <c r="O257" s="91"/>
      <c r="P257" s="91"/>
      <c r="Q257" s="91"/>
      <c r="R257" s="91"/>
      <c r="S257" s="91"/>
      <c r="T257" s="91"/>
      <c r="U257" s="91"/>
      <c r="V257" s="91"/>
      <c r="W257" s="91"/>
    </row>
    <row r="258" spans="2:43" ht="14.4" hidden="1" outlineLevel="1" x14ac:dyDescent="0.3">
      <c r="B258" s="425">
        <f t="shared" si="5"/>
        <v>72</v>
      </c>
      <c r="C258" s="95" t="s">
        <v>456</v>
      </c>
      <c r="D258" s="474"/>
      <c r="E258" s="474"/>
      <c r="F258" s="91"/>
      <c r="G258" s="91"/>
      <c r="H258" s="91"/>
      <c r="I258" s="91"/>
      <c r="J258" s="91"/>
      <c r="K258" s="91"/>
      <c r="L258" s="91"/>
      <c r="M258" s="91"/>
      <c r="N258" s="91"/>
      <c r="O258" s="91"/>
      <c r="P258" s="91"/>
      <c r="Q258" s="91"/>
      <c r="R258" s="91"/>
      <c r="S258" s="91"/>
      <c r="T258" s="91"/>
      <c r="U258" s="91"/>
      <c r="V258" s="91"/>
      <c r="W258" s="91"/>
    </row>
    <row r="259" spans="2:43" ht="14.4" hidden="1" outlineLevel="1" x14ac:dyDescent="0.3">
      <c r="B259" s="425">
        <f t="shared" si="5"/>
        <v>73</v>
      </c>
      <c r="C259" s="95" t="s">
        <v>456</v>
      </c>
      <c r="D259" s="474"/>
      <c r="E259" s="474"/>
      <c r="F259" s="91"/>
      <c r="G259" s="91"/>
      <c r="H259" s="91"/>
      <c r="I259" s="91"/>
      <c r="J259" s="91"/>
      <c r="K259" s="91"/>
      <c r="L259" s="91"/>
      <c r="M259" s="91"/>
      <c r="N259" s="91"/>
      <c r="O259" s="91"/>
      <c r="P259" s="91"/>
      <c r="Q259" s="91"/>
      <c r="R259" s="91"/>
      <c r="S259" s="91"/>
      <c r="T259" s="91"/>
      <c r="U259" s="91"/>
      <c r="V259" s="91"/>
      <c r="W259" s="91"/>
    </row>
    <row r="260" spans="2:43" ht="14.4" hidden="1" outlineLevel="1" x14ac:dyDescent="0.3">
      <c r="B260" s="425">
        <f t="shared" si="5"/>
        <v>74</v>
      </c>
      <c r="C260" s="95" t="s">
        <v>456</v>
      </c>
      <c r="D260" s="474"/>
      <c r="E260" s="474"/>
      <c r="F260" s="91"/>
      <c r="G260" s="91"/>
      <c r="H260" s="91"/>
      <c r="I260" s="91"/>
      <c r="J260" s="91"/>
      <c r="K260" s="91"/>
      <c r="L260" s="91"/>
      <c r="M260" s="91"/>
      <c r="N260" s="91"/>
      <c r="O260" s="91"/>
      <c r="P260" s="91"/>
      <c r="Q260" s="91"/>
      <c r="R260" s="91"/>
      <c r="S260" s="91"/>
      <c r="T260" s="91"/>
      <c r="U260" s="91"/>
      <c r="V260" s="91"/>
      <c r="W260" s="91"/>
    </row>
    <row r="261" spans="2:43" ht="14.4" hidden="1" outlineLevel="1" x14ac:dyDescent="0.3">
      <c r="B261" s="425">
        <f t="shared" si="5"/>
        <v>75</v>
      </c>
      <c r="C261" s="95" t="s">
        <v>456</v>
      </c>
      <c r="D261" s="474"/>
      <c r="E261" s="474"/>
      <c r="F261" s="91"/>
      <c r="G261" s="91"/>
      <c r="H261" s="91"/>
      <c r="I261" s="91"/>
      <c r="J261" s="91"/>
      <c r="K261" s="91"/>
      <c r="L261" s="91"/>
      <c r="M261" s="91"/>
      <c r="N261" s="91"/>
      <c r="O261" s="91"/>
      <c r="P261" s="91"/>
      <c r="Q261" s="91"/>
      <c r="R261" s="91"/>
      <c r="S261" s="91"/>
      <c r="T261" s="91"/>
      <c r="U261" s="91"/>
      <c r="V261" s="91"/>
      <c r="W261" s="91"/>
    </row>
    <row r="262" spans="2:43" ht="14.4" hidden="1" outlineLevel="1" x14ac:dyDescent="0.3">
      <c r="B262" s="425">
        <f t="shared" si="5"/>
        <v>76</v>
      </c>
      <c r="C262" s="95" t="s">
        <v>456</v>
      </c>
      <c r="D262" s="474"/>
      <c r="E262" s="474"/>
      <c r="F262" s="91"/>
      <c r="G262" s="91"/>
      <c r="H262" s="91"/>
      <c r="I262" s="91"/>
      <c r="J262" s="91"/>
      <c r="K262" s="91"/>
      <c r="L262" s="91"/>
      <c r="M262" s="91"/>
      <c r="N262" s="91"/>
      <c r="O262" s="91"/>
      <c r="P262" s="91"/>
      <c r="Q262" s="91"/>
      <c r="R262" s="91"/>
      <c r="S262" s="91"/>
      <c r="T262" s="91"/>
      <c r="U262" s="91"/>
      <c r="V262" s="91"/>
      <c r="W262" s="91"/>
    </row>
    <row r="263" spans="2:43" ht="14.4" hidden="1" outlineLevel="1" x14ac:dyDescent="0.3">
      <c r="B263" s="425">
        <f t="shared" si="5"/>
        <v>77</v>
      </c>
      <c r="C263" s="95" t="s">
        <v>456</v>
      </c>
      <c r="D263" s="474"/>
      <c r="E263" s="474"/>
      <c r="F263" s="91"/>
      <c r="G263" s="91"/>
      <c r="H263" s="91"/>
      <c r="I263" s="91"/>
      <c r="J263" s="91"/>
      <c r="K263" s="91"/>
      <c r="L263" s="91"/>
      <c r="M263" s="91"/>
      <c r="N263" s="91"/>
      <c r="O263" s="91"/>
      <c r="P263" s="91"/>
      <c r="Q263" s="91"/>
      <c r="R263" s="91"/>
      <c r="S263" s="91"/>
      <c r="T263" s="91"/>
      <c r="U263" s="91"/>
      <c r="V263" s="91"/>
      <c r="W263" s="91"/>
    </row>
    <row r="264" spans="2:43" ht="14.4" hidden="1" outlineLevel="1" x14ac:dyDescent="0.3">
      <c r="B264" s="425">
        <f t="shared" si="5"/>
        <v>78</v>
      </c>
      <c r="C264" s="95" t="s">
        <v>456</v>
      </c>
      <c r="D264" s="474"/>
      <c r="E264" s="474"/>
      <c r="F264" s="91"/>
      <c r="G264" s="91"/>
      <c r="H264" s="91"/>
      <c r="I264" s="91"/>
      <c r="J264" s="91"/>
      <c r="K264" s="91"/>
      <c r="L264" s="91"/>
      <c r="M264" s="91"/>
      <c r="N264" s="91"/>
      <c r="O264" s="91"/>
      <c r="P264" s="91"/>
      <c r="Q264" s="91"/>
      <c r="R264" s="91"/>
      <c r="S264" s="91"/>
      <c r="T264" s="91"/>
      <c r="U264" s="91"/>
      <c r="V264" s="91"/>
      <c r="W264" s="91"/>
    </row>
    <row r="265" spans="2:43" ht="14.4" hidden="1" outlineLevel="1" x14ac:dyDescent="0.3">
      <c r="B265" s="425">
        <f t="shared" si="5"/>
        <v>79</v>
      </c>
      <c r="C265" s="95" t="s">
        <v>456</v>
      </c>
      <c r="D265" s="474"/>
      <c r="E265" s="474"/>
      <c r="F265" s="91"/>
      <c r="G265" s="91"/>
      <c r="H265" s="91"/>
      <c r="I265" s="91"/>
      <c r="J265" s="91"/>
      <c r="K265" s="91"/>
      <c r="L265" s="91"/>
      <c r="M265" s="91"/>
      <c r="N265" s="91"/>
      <c r="O265" s="91"/>
      <c r="P265" s="91"/>
      <c r="Q265" s="91"/>
      <c r="R265" s="91"/>
      <c r="S265" s="91"/>
      <c r="T265" s="91"/>
      <c r="U265" s="91"/>
      <c r="V265" s="91"/>
      <c r="W265" s="91"/>
    </row>
    <row r="266" spans="2:43" ht="14.4" collapsed="1" x14ac:dyDescent="0.3">
      <c r="B266" s="425">
        <f t="shared" si="5"/>
        <v>80</v>
      </c>
      <c r="C266" s="95" t="s">
        <v>456</v>
      </c>
      <c r="D266" s="474"/>
      <c r="E266" s="474"/>
      <c r="F266" s="91"/>
      <c r="G266" s="91"/>
      <c r="H266" s="91"/>
      <c r="I266" s="91"/>
      <c r="J266" s="91"/>
      <c r="K266" s="91"/>
      <c r="L266" s="91"/>
      <c r="M266" s="91"/>
      <c r="N266" s="91"/>
      <c r="O266" s="91"/>
      <c r="P266" s="91"/>
      <c r="Q266" s="91"/>
      <c r="R266" s="91"/>
      <c r="S266" s="91"/>
      <c r="T266" s="91"/>
      <c r="U266" s="91"/>
      <c r="V266" s="91"/>
      <c r="W266" s="91"/>
    </row>
    <row r="267" spans="2:43" x14ac:dyDescent="0.2">
      <c r="B267" s="252"/>
      <c r="C267" s="468"/>
    </row>
    <row r="268" spans="2:43" x14ac:dyDescent="0.2">
      <c r="B268" s="252"/>
      <c r="C268" s="252" t="s">
        <v>956</v>
      </c>
    </row>
    <row r="269" spans="2:43" x14ac:dyDescent="0.2">
      <c r="B269" s="252"/>
      <c r="C269" s="468"/>
    </row>
    <row r="270" spans="2:43" ht="15.6" x14ac:dyDescent="0.2">
      <c r="C270" s="469" t="s">
        <v>854</v>
      </c>
      <c r="D270" s="437"/>
      <c r="E270" s="437"/>
      <c r="F270" s="437"/>
      <c r="G270" s="438"/>
    </row>
    <row r="271" spans="2:43" x14ac:dyDescent="0.2">
      <c r="C271" s="252"/>
    </row>
    <row r="272" spans="2:43" ht="36" x14ac:dyDescent="0.2">
      <c r="B272" s="252"/>
      <c r="C272" s="96" t="s">
        <v>974</v>
      </c>
      <c r="D272" s="478" t="s">
        <v>994</v>
      </c>
      <c r="E272" s="479" t="s">
        <v>975</v>
      </c>
      <c r="F272" s="562" t="s">
        <v>976</v>
      </c>
      <c r="G272" s="563"/>
      <c r="H272" s="563"/>
      <c r="I272" s="564"/>
      <c r="J272" s="574" t="s">
        <v>977</v>
      </c>
      <c r="K272" s="574"/>
      <c r="L272" s="480" t="s">
        <v>978</v>
      </c>
      <c r="M272" s="481" t="s">
        <v>1001</v>
      </c>
      <c r="N272" s="562" t="s">
        <v>979</v>
      </c>
      <c r="O272" s="563"/>
      <c r="P272" s="563"/>
      <c r="Q272" s="563"/>
      <c r="R272" s="563"/>
      <c r="S272" s="563"/>
      <c r="T272" s="563"/>
      <c r="U272" s="564"/>
      <c r="V272" s="482" t="s">
        <v>980</v>
      </c>
      <c r="W272" s="482"/>
      <c r="X272" s="482" t="s">
        <v>995</v>
      </c>
      <c r="Y272" s="482" t="s">
        <v>975</v>
      </c>
      <c r="Z272" s="574" t="s">
        <v>976</v>
      </c>
      <c r="AA272" s="574"/>
      <c r="AB272" s="574"/>
      <c r="AC272" s="574"/>
      <c r="AD272" s="575" t="s">
        <v>977</v>
      </c>
      <c r="AE272" s="575"/>
      <c r="AF272" s="480" t="s">
        <v>978</v>
      </c>
      <c r="AG272" s="481" t="s">
        <v>1001</v>
      </c>
      <c r="AH272" s="562" t="s">
        <v>979</v>
      </c>
      <c r="AI272" s="563"/>
      <c r="AJ272" s="563"/>
      <c r="AK272" s="563"/>
      <c r="AL272" s="563"/>
      <c r="AM272" s="563"/>
      <c r="AN272" s="563"/>
      <c r="AO272" s="564"/>
      <c r="AP272" s="479" t="s">
        <v>980</v>
      </c>
      <c r="AQ272" s="479"/>
    </row>
    <row r="273" spans="2:43" ht="60" x14ac:dyDescent="0.2">
      <c r="B273" s="252"/>
      <c r="C273" s="418" t="s">
        <v>456</v>
      </c>
      <c r="D273" s="461" t="s">
        <v>996</v>
      </c>
      <c r="E273" s="461" t="s">
        <v>975</v>
      </c>
      <c r="F273" s="461" t="s">
        <v>981</v>
      </c>
      <c r="G273" s="461" t="s">
        <v>982</v>
      </c>
      <c r="H273" s="461" t="s">
        <v>983</v>
      </c>
      <c r="I273" s="473" t="s">
        <v>984</v>
      </c>
      <c r="J273" s="418" t="s">
        <v>977</v>
      </c>
      <c r="K273" s="418" t="s">
        <v>985</v>
      </c>
      <c r="L273" s="461" t="s">
        <v>733</v>
      </c>
      <c r="M273" s="461" t="s">
        <v>1002</v>
      </c>
      <c r="N273" s="461" t="s">
        <v>986</v>
      </c>
      <c r="O273" s="461" t="s">
        <v>987</v>
      </c>
      <c r="P273" s="461" t="s">
        <v>1026</v>
      </c>
      <c r="Q273" s="461" t="s">
        <v>1027</v>
      </c>
      <c r="R273" s="461" t="s">
        <v>988</v>
      </c>
      <c r="S273" s="461" t="s">
        <v>989</v>
      </c>
      <c r="T273" s="461" t="s">
        <v>1003</v>
      </c>
      <c r="U273" s="461" t="s">
        <v>990</v>
      </c>
      <c r="V273" s="461" t="s">
        <v>991</v>
      </c>
      <c r="W273" s="461" t="s">
        <v>992</v>
      </c>
      <c r="X273" s="461" t="s">
        <v>997</v>
      </c>
      <c r="Y273" s="461" t="s">
        <v>975</v>
      </c>
      <c r="Z273" s="461" t="s">
        <v>981</v>
      </c>
      <c r="AA273" s="461" t="s">
        <v>982</v>
      </c>
      <c r="AB273" s="461" t="s">
        <v>983</v>
      </c>
      <c r="AC273" s="483" t="s">
        <v>984</v>
      </c>
      <c r="AD273" s="418" t="s">
        <v>977</v>
      </c>
      <c r="AE273" s="418" t="s">
        <v>985</v>
      </c>
      <c r="AF273" s="461" t="s">
        <v>733</v>
      </c>
      <c r="AG273" s="461" t="s">
        <v>1002</v>
      </c>
      <c r="AH273" s="461" t="s">
        <v>986</v>
      </c>
      <c r="AI273" s="461" t="s">
        <v>987</v>
      </c>
      <c r="AJ273" s="461" t="s">
        <v>1026</v>
      </c>
      <c r="AK273" s="461" t="s">
        <v>1027</v>
      </c>
      <c r="AL273" s="461" t="s">
        <v>988</v>
      </c>
      <c r="AM273" s="461" t="s">
        <v>989</v>
      </c>
      <c r="AN273" s="461" t="s">
        <v>1003</v>
      </c>
      <c r="AO273" s="461" t="s">
        <v>990</v>
      </c>
      <c r="AP273" s="461" t="s">
        <v>991</v>
      </c>
      <c r="AQ273" s="461" t="s">
        <v>992</v>
      </c>
    </row>
    <row r="274" spans="2:43" ht="14.4" x14ac:dyDescent="0.3">
      <c r="B274" s="425">
        <v>1</v>
      </c>
      <c r="C274" s="95" t="s">
        <v>456</v>
      </c>
      <c r="D274" s="474"/>
      <c r="E274" s="474"/>
      <c r="F274" s="91"/>
      <c r="G274" s="91"/>
      <c r="H274" s="91"/>
      <c r="I274" s="91"/>
      <c r="J274" s="427"/>
      <c r="K274" s="427"/>
      <c r="L274" s="91"/>
      <c r="M274" s="91"/>
      <c r="N274" s="91"/>
      <c r="O274" s="91"/>
      <c r="P274" s="91"/>
      <c r="Q274" s="91"/>
      <c r="R274" s="91"/>
      <c r="S274" s="91"/>
      <c r="T274" s="91"/>
      <c r="U274" s="91"/>
      <c r="V274" s="91"/>
      <c r="W274" s="91"/>
      <c r="X274" s="474"/>
      <c r="Y274" s="474"/>
      <c r="Z274" s="91"/>
      <c r="AA274" s="91"/>
      <c r="AB274" s="91"/>
      <c r="AC274" s="91"/>
      <c r="AD274" s="427"/>
      <c r="AE274" s="427"/>
      <c r="AF274" s="91"/>
      <c r="AG274" s="91"/>
      <c r="AH274" s="91"/>
      <c r="AI274" s="91"/>
      <c r="AJ274" s="91"/>
      <c r="AK274" s="91"/>
      <c r="AL274" s="91"/>
      <c r="AM274" s="91"/>
      <c r="AN274" s="91"/>
      <c r="AO274" s="91"/>
      <c r="AP274" s="91"/>
      <c r="AQ274" s="91"/>
    </row>
    <row r="275" spans="2:43" ht="14.4" x14ac:dyDescent="0.3">
      <c r="B275" s="425">
        <f>1+B274</f>
        <v>2</v>
      </c>
      <c r="C275" s="95" t="s">
        <v>456</v>
      </c>
      <c r="D275" s="474"/>
      <c r="E275" s="474"/>
      <c r="F275" s="91"/>
      <c r="G275" s="91"/>
      <c r="H275" s="91"/>
      <c r="I275" s="91"/>
      <c r="J275" s="91"/>
      <c r="K275" s="91"/>
      <c r="L275" s="91"/>
      <c r="M275" s="91"/>
      <c r="N275" s="91"/>
      <c r="O275" s="91"/>
      <c r="P275" s="91"/>
      <c r="Q275" s="91"/>
      <c r="R275" s="91"/>
      <c r="S275" s="91"/>
      <c r="T275" s="91"/>
      <c r="U275" s="91"/>
      <c r="V275" s="91"/>
      <c r="W275" s="91"/>
      <c r="X275" s="474"/>
      <c r="Y275" s="474"/>
      <c r="Z275" s="91"/>
      <c r="AA275" s="91"/>
      <c r="AB275" s="91"/>
      <c r="AC275" s="91"/>
      <c r="AD275" s="91"/>
      <c r="AE275" s="91"/>
      <c r="AF275" s="91"/>
      <c r="AG275" s="91"/>
      <c r="AH275" s="91"/>
      <c r="AI275" s="91"/>
      <c r="AJ275" s="91"/>
      <c r="AK275" s="91"/>
      <c r="AL275" s="91"/>
      <c r="AM275" s="91"/>
      <c r="AN275" s="91"/>
      <c r="AO275" s="91"/>
      <c r="AP275" s="91"/>
      <c r="AQ275" s="91"/>
    </row>
    <row r="276" spans="2:43" ht="14.4" x14ac:dyDescent="0.3">
      <c r="B276" s="425">
        <f t="shared" ref="B276:B339" si="6">1+B275</f>
        <v>3</v>
      </c>
      <c r="C276" s="95" t="s">
        <v>456</v>
      </c>
      <c r="D276" s="474"/>
      <c r="E276" s="474"/>
      <c r="F276" s="91"/>
      <c r="G276" s="91"/>
      <c r="H276" s="91"/>
      <c r="I276" s="91"/>
      <c r="J276" s="91"/>
      <c r="K276" s="91"/>
      <c r="L276" s="91"/>
      <c r="M276" s="91"/>
      <c r="N276" s="91"/>
      <c r="O276" s="91"/>
      <c r="P276" s="91"/>
      <c r="Q276" s="91"/>
      <c r="R276" s="91"/>
      <c r="S276" s="91"/>
      <c r="T276" s="91"/>
      <c r="U276" s="91"/>
      <c r="V276" s="91"/>
      <c r="W276" s="91"/>
      <c r="X276" s="474"/>
      <c r="Y276" s="474"/>
      <c r="Z276" s="91"/>
      <c r="AA276" s="91"/>
      <c r="AB276" s="91"/>
      <c r="AC276" s="91"/>
      <c r="AD276" s="91"/>
      <c r="AE276" s="91"/>
      <c r="AF276" s="91"/>
      <c r="AG276" s="91"/>
      <c r="AH276" s="91"/>
      <c r="AI276" s="91"/>
      <c r="AJ276" s="91"/>
      <c r="AK276" s="91"/>
      <c r="AL276" s="91"/>
      <c r="AM276" s="91"/>
      <c r="AN276" s="91"/>
      <c r="AO276" s="91"/>
      <c r="AP276" s="91"/>
      <c r="AQ276" s="91"/>
    </row>
    <row r="277" spans="2:43" ht="14.4" x14ac:dyDescent="0.3">
      <c r="B277" s="425">
        <f t="shared" si="6"/>
        <v>4</v>
      </c>
      <c r="C277" s="95" t="s">
        <v>456</v>
      </c>
      <c r="D277" s="474"/>
      <c r="E277" s="474"/>
      <c r="F277" s="91"/>
      <c r="G277" s="91"/>
      <c r="H277" s="91"/>
      <c r="I277" s="91"/>
      <c r="J277" s="91"/>
      <c r="K277" s="91"/>
      <c r="L277" s="91"/>
      <c r="M277" s="91"/>
      <c r="N277" s="91"/>
      <c r="O277" s="91"/>
      <c r="P277" s="91"/>
      <c r="Q277" s="91"/>
      <c r="R277" s="91"/>
      <c r="S277" s="91"/>
      <c r="T277" s="91"/>
      <c r="U277" s="91"/>
      <c r="V277" s="91"/>
      <c r="W277" s="91"/>
      <c r="X277" s="474"/>
      <c r="Y277" s="474"/>
      <c r="Z277" s="91"/>
      <c r="AA277" s="91"/>
      <c r="AB277" s="91"/>
      <c r="AC277" s="91"/>
      <c r="AD277" s="91"/>
      <c r="AE277" s="91"/>
      <c r="AF277" s="91"/>
      <c r="AG277" s="91"/>
      <c r="AH277" s="91"/>
      <c r="AI277" s="91"/>
      <c r="AJ277" s="91"/>
      <c r="AK277" s="91"/>
      <c r="AL277" s="91"/>
      <c r="AM277" s="91"/>
      <c r="AN277" s="91"/>
      <c r="AO277" s="91"/>
      <c r="AP277" s="91"/>
      <c r="AQ277" s="91"/>
    </row>
    <row r="278" spans="2:43" ht="14.4" x14ac:dyDescent="0.3">
      <c r="B278" s="425">
        <f t="shared" si="6"/>
        <v>5</v>
      </c>
      <c r="C278" s="95" t="s">
        <v>456</v>
      </c>
      <c r="D278" s="474"/>
      <c r="E278" s="474"/>
      <c r="F278" s="91"/>
      <c r="G278" s="91"/>
      <c r="H278" s="91"/>
      <c r="I278" s="91"/>
      <c r="J278" s="91"/>
      <c r="K278" s="91"/>
      <c r="L278" s="91"/>
      <c r="M278" s="91"/>
      <c r="N278" s="91"/>
      <c r="O278" s="91"/>
      <c r="P278" s="91"/>
      <c r="Q278" s="91"/>
      <c r="R278" s="91"/>
      <c r="S278" s="91"/>
      <c r="T278" s="91"/>
      <c r="U278" s="91"/>
      <c r="V278" s="91"/>
      <c r="W278" s="91"/>
      <c r="X278" s="474"/>
      <c r="Y278" s="474"/>
      <c r="Z278" s="91"/>
      <c r="AA278" s="91"/>
      <c r="AB278" s="91"/>
      <c r="AC278" s="91"/>
      <c r="AD278" s="91"/>
      <c r="AE278" s="91"/>
      <c r="AF278" s="91"/>
      <c r="AG278" s="91"/>
      <c r="AH278" s="91"/>
      <c r="AI278" s="91"/>
      <c r="AJ278" s="91"/>
      <c r="AK278" s="91"/>
      <c r="AL278" s="91"/>
      <c r="AM278" s="91"/>
      <c r="AN278" s="91"/>
      <c r="AO278" s="91"/>
      <c r="AP278" s="91"/>
      <c r="AQ278" s="91"/>
    </row>
    <row r="279" spans="2:43" ht="14.4" x14ac:dyDescent="0.3">
      <c r="B279" s="425">
        <f t="shared" si="6"/>
        <v>6</v>
      </c>
      <c r="C279" s="95" t="s">
        <v>456</v>
      </c>
      <c r="D279" s="474"/>
      <c r="E279" s="474"/>
      <c r="F279" s="91"/>
      <c r="G279" s="91"/>
      <c r="H279" s="91"/>
      <c r="I279" s="91"/>
      <c r="J279" s="91"/>
      <c r="K279" s="91"/>
      <c r="L279" s="91"/>
      <c r="M279" s="91"/>
      <c r="N279" s="91"/>
      <c r="O279" s="91"/>
      <c r="P279" s="91"/>
      <c r="Q279" s="91"/>
      <c r="R279" s="91"/>
      <c r="S279" s="91"/>
      <c r="T279" s="91"/>
      <c r="U279" s="91"/>
      <c r="V279" s="91"/>
      <c r="W279" s="91"/>
      <c r="X279" s="474"/>
      <c r="Y279" s="474"/>
      <c r="Z279" s="91"/>
      <c r="AA279" s="91"/>
      <c r="AB279" s="91"/>
      <c r="AC279" s="91"/>
      <c r="AD279" s="91"/>
      <c r="AE279" s="91"/>
      <c r="AF279" s="91"/>
      <c r="AG279" s="91"/>
      <c r="AH279" s="91"/>
      <c r="AI279" s="91"/>
      <c r="AJ279" s="91"/>
      <c r="AK279" s="91"/>
      <c r="AL279" s="91"/>
      <c r="AM279" s="91"/>
      <c r="AN279" s="91"/>
      <c r="AO279" s="91"/>
      <c r="AP279" s="91"/>
      <c r="AQ279" s="91"/>
    </row>
    <row r="280" spans="2:43" ht="14.4" x14ac:dyDescent="0.3">
      <c r="B280" s="425">
        <f t="shared" si="6"/>
        <v>7</v>
      </c>
      <c r="C280" s="95" t="s">
        <v>456</v>
      </c>
      <c r="D280" s="474"/>
      <c r="E280" s="474"/>
      <c r="F280" s="91"/>
      <c r="G280" s="91"/>
      <c r="H280" s="91"/>
      <c r="I280" s="91"/>
      <c r="J280" s="91"/>
      <c r="K280" s="91"/>
      <c r="L280" s="91"/>
      <c r="M280" s="91"/>
      <c r="N280" s="91"/>
      <c r="O280" s="91"/>
      <c r="P280" s="91"/>
      <c r="Q280" s="91"/>
      <c r="R280" s="91"/>
      <c r="S280" s="91"/>
      <c r="T280" s="91"/>
      <c r="U280" s="91"/>
      <c r="V280" s="91"/>
      <c r="W280" s="91"/>
      <c r="X280" s="474"/>
      <c r="Y280" s="474"/>
      <c r="Z280" s="91"/>
      <c r="AA280" s="91"/>
      <c r="AB280" s="91"/>
      <c r="AC280" s="91"/>
      <c r="AD280" s="91"/>
      <c r="AE280" s="91"/>
      <c r="AF280" s="91"/>
      <c r="AG280" s="91"/>
      <c r="AH280" s="91"/>
      <c r="AI280" s="91"/>
      <c r="AJ280" s="91"/>
      <c r="AK280" s="91"/>
      <c r="AL280" s="91"/>
      <c r="AM280" s="91"/>
      <c r="AN280" s="91"/>
      <c r="AO280" s="91"/>
      <c r="AP280" s="91"/>
      <c r="AQ280" s="91"/>
    </row>
    <row r="281" spans="2:43" ht="14.4" x14ac:dyDescent="0.3">
      <c r="B281" s="425">
        <f t="shared" si="6"/>
        <v>8</v>
      </c>
      <c r="C281" s="95" t="s">
        <v>456</v>
      </c>
      <c r="D281" s="474"/>
      <c r="E281" s="474"/>
      <c r="F281" s="91"/>
      <c r="G281" s="91"/>
      <c r="H281" s="91"/>
      <c r="I281" s="91"/>
      <c r="J281" s="91"/>
      <c r="K281" s="91"/>
      <c r="L281" s="91"/>
      <c r="M281" s="91"/>
      <c r="N281" s="91"/>
      <c r="O281" s="91"/>
      <c r="P281" s="91"/>
      <c r="Q281" s="91"/>
      <c r="R281" s="91"/>
      <c r="S281" s="91"/>
      <c r="T281" s="91"/>
      <c r="U281" s="91"/>
      <c r="V281" s="91"/>
      <c r="W281" s="91"/>
      <c r="X281" s="474"/>
      <c r="Y281" s="474"/>
      <c r="Z281" s="91"/>
      <c r="AA281" s="91"/>
      <c r="AB281" s="91"/>
      <c r="AC281" s="91"/>
      <c r="AD281" s="91"/>
      <c r="AE281" s="91"/>
      <c r="AF281" s="91"/>
      <c r="AG281" s="91"/>
      <c r="AH281" s="91"/>
      <c r="AI281" s="91"/>
      <c r="AJ281" s="91"/>
      <c r="AK281" s="91"/>
      <c r="AL281" s="91"/>
      <c r="AM281" s="91"/>
      <c r="AN281" s="91"/>
      <c r="AO281" s="91"/>
      <c r="AP281" s="91"/>
      <c r="AQ281" s="91"/>
    </row>
    <row r="282" spans="2:43" ht="14.4" x14ac:dyDescent="0.3">
      <c r="B282" s="425">
        <f t="shared" si="6"/>
        <v>9</v>
      </c>
      <c r="C282" s="95" t="s">
        <v>456</v>
      </c>
      <c r="D282" s="474"/>
      <c r="E282" s="474"/>
      <c r="F282" s="91"/>
      <c r="G282" s="91"/>
      <c r="H282" s="91"/>
      <c r="I282" s="91"/>
      <c r="J282" s="91"/>
      <c r="K282" s="91"/>
      <c r="L282" s="91"/>
      <c r="M282" s="91"/>
      <c r="N282" s="91"/>
      <c r="O282" s="91"/>
      <c r="P282" s="91"/>
      <c r="Q282" s="91"/>
      <c r="R282" s="91"/>
      <c r="S282" s="91"/>
      <c r="T282" s="91"/>
      <c r="U282" s="91"/>
      <c r="V282" s="91"/>
      <c r="W282" s="91"/>
      <c r="X282" s="474"/>
      <c r="Y282" s="474"/>
      <c r="Z282" s="91"/>
      <c r="AA282" s="91"/>
      <c r="AB282" s="91"/>
      <c r="AC282" s="91"/>
      <c r="AD282" s="91"/>
      <c r="AE282" s="91"/>
      <c r="AF282" s="91"/>
      <c r="AG282" s="91"/>
      <c r="AH282" s="91"/>
      <c r="AI282" s="91"/>
      <c r="AJ282" s="91"/>
      <c r="AK282" s="91"/>
      <c r="AL282" s="91"/>
      <c r="AM282" s="91"/>
      <c r="AN282" s="91"/>
      <c r="AO282" s="91"/>
      <c r="AP282" s="91"/>
      <c r="AQ282" s="91"/>
    </row>
    <row r="283" spans="2:43" ht="14.7" hidden="1" customHeight="1" outlineLevel="1" x14ac:dyDescent="0.3">
      <c r="B283" s="425">
        <f t="shared" si="6"/>
        <v>10</v>
      </c>
      <c r="C283" s="95" t="s">
        <v>456</v>
      </c>
      <c r="D283" s="474"/>
      <c r="E283" s="474"/>
      <c r="F283" s="91"/>
      <c r="G283" s="91"/>
      <c r="H283" s="91"/>
      <c r="I283" s="91"/>
      <c r="J283" s="91"/>
      <c r="K283" s="91"/>
      <c r="L283" s="91"/>
      <c r="M283" s="91"/>
      <c r="N283" s="91"/>
      <c r="O283" s="91"/>
      <c r="P283" s="91"/>
      <c r="Q283" s="91"/>
      <c r="R283" s="91"/>
      <c r="S283" s="91"/>
      <c r="T283" s="91"/>
      <c r="U283" s="91"/>
      <c r="V283" s="91"/>
      <c r="W283" s="91"/>
      <c r="X283" s="474"/>
      <c r="Y283" s="474"/>
      <c r="Z283" s="91"/>
      <c r="AA283" s="91"/>
      <c r="AB283" s="91"/>
      <c r="AC283" s="91"/>
      <c r="AD283" s="91"/>
      <c r="AE283" s="91"/>
      <c r="AF283" s="91"/>
      <c r="AG283" s="91"/>
      <c r="AH283" s="91"/>
      <c r="AI283" s="91"/>
      <c r="AJ283" s="91"/>
      <c r="AK283" s="91"/>
      <c r="AL283" s="91"/>
      <c r="AM283" s="91"/>
      <c r="AN283" s="91"/>
      <c r="AO283" s="91"/>
      <c r="AP283" s="91"/>
      <c r="AQ283" s="91"/>
    </row>
    <row r="284" spans="2:43" ht="14.7" hidden="1" customHeight="1" outlineLevel="1" x14ac:dyDescent="0.3">
      <c r="B284" s="425">
        <f t="shared" si="6"/>
        <v>11</v>
      </c>
      <c r="C284" s="95" t="s">
        <v>456</v>
      </c>
      <c r="D284" s="474"/>
      <c r="E284" s="474"/>
      <c r="F284" s="91"/>
      <c r="G284" s="91"/>
      <c r="H284" s="91"/>
      <c r="I284" s="91"/>
      <c r="J284" s="91"/>
      <c r="K284" s="91"/>
      <c r="L284" s="91"/>
      <c r="M284" s="91"/>
      <c r="N284" s="91"/>
      <c r="O284" s="91"/>
      <c r="P284" s="91"/>
      <c r="Q284" s="91"/>
      <c r="R284" s="91"/>
      <c r="S284" s="91"/>
      <c r="T284" s="91"/>
      <c r="U284" s="91"/>
      <c r="V284" s="91"/>
      <c r="W284" s="91"/>
      <c r="X284" s="474"/>
      <c r="Y284" s="474"/>
      <c r="Z284" s="91"/>
      <c r="AA284" s="91"/>
      <c r="AB284" s="91"/>
      <c r="AC284" s="91"/>
      <c r="AD284" s="91"/>
      <c r="AE284" s="91"/>
      <c r="AF284" s="91"/>
      <c r="AG284" s="91"/>
      <c r="AH284" s="91"/>
      <c r="AI284" s="91"/>
      <c r="AJ284" s="91"/>
      <c r="AK284" s="91"/>
      <c r="AL284" s="91"/>
      <c r="AM284" s="91"/>
      <c r="AN284" s="91"/>
      <c r="AO284" s="91"/>
      <c r="AP284" s="91"/>
      <c r="AQ284" s="91"/>
    </row>
    <row r="285" spans="2:43" ht="14.7" hidden="1" customHeight="1" outlineLevel="1" x14ac:dyDescent="0.3">
      <c r="B285" s="425">
        <f t="shared" si="6"/>
        <v>12</v>
      </c>
      <c r="C285" s="95" t="s">
        <v>456</v>
      </c>
      <c r="D285" s="474"/>
      <c r="E285" s="474"/>
      <c r="F285" s="91"/>
      <c r="G285" s="91"/>
      <c r="H285" s="91"/>
      <c r="I285" s="91"/>
      <c r="J285" s="91"/>
      <c r="K285" s="91"/>
      <c r="L285" s="91"/>
      <c r="M285" s="91"/>
      <c r="N285" s="91"/>
      <c r="O285" s="91"/>
      <c r="P285" s="91"/>
      <c r="Q285" s="91"/>
      <c r="R285" s="91"/>
      <c r="S285" s="91"/>
      <c r="T285" s="91"/>
      <c r="U285" s="91"/>
      <c r="V285" s="91"/>
      <c r="W285" s="91"/>
      <c r="X285" s="474"/>
      <c r="Y285" s="474"/>
      <c r="Z285" s="91"/>
      <c r="AA285" s="91"/>
      <c r="AB285" s="91"/>
      <c r="AC285" s="91"/>
      <c r="AD285" s="91"/>
      <c r="AE285" s="91"/>
      <c r="AF285" s="91"/>
      <c r="AG285" s="91"/>
      <c r="AH285" s="91"/>
      <c r="AI285" s="91"/>
      <c r="AJ285" s="91"/>
      <c r="AK285" s="91"/>
      <c r="AL285" s="91"/>
      <c r="AM285" s="91"/>
      <c r="AN285" s="91"/>
      <c r="AO285" s="91"/>
      <c r="AP285" s="91"/>
      <c r="AQ285" s="91"/>
    </row>
    <row r="286" spans="2:43" ht="14.7" hidden="1" customHeight="1" outlineLevel="1" x14ac:dyDescent="0.3">
      <c r="B286" s="425">
        <f t="shared" si="6"/>
        <v>13</v>
      </c>
      <c r="C286" s="95" t="s">
        <v>456</v>
      </c>
      <c r="D286" s="474"/>
      <c r="E286" s="474"/>
      <c r="F286" s="91"/>
      <c r="G286" s="91"/>
      <c r="H286" s="91"/>
      <c r="I286" s="91"/>
      <c r="J286" s="91"/>
      <c r="K286" s="91"/>
      <c r="L286" s="91"/>
      <c r="M286" s="91"/>
      <c r="N286" s="91"/>
      <c r="O286" s="91"/>
      <c r="P286" s="91"/>
      <c r="Q286" s="91"/>
      <c r="R286" s="91"/>
      <c r="S286" s="91"/>
      <c r="T286" s="91"/>
      <c r="U286" s="91"/>
      <c r="V286" s="91"/>
      <c r="W286" s="91"/>
      <c r="X286" s="474"/>
      <c r="Y286" s="474"/>
      <c r="Z286" s="91"/>
      <c r="AA286" s="91"/>
      <c r="AB286" s="91"/>
      <c r="AC286" s="91"/>
      <c r="AD286" s="91"/>
      <c r="AE286" s="91"/>
      <c r="AF286" s="91"/>
      <c r="AG286" s="91"/>
      <c r="AH286" s="91"/>
      <c r="AI286" s="91"/>
      <c r="AJ286" s="91"/>
      <c r="AK286" s="91"/>
      <c r="AL286" s="91"/>
      <c r="AM286" s="91"/>
      <c r="AN286" s="91"/>
      <c r="AO286" s="91"/>
      <c r="AP286" s="91"/>
      <c r="AQ286" s="91"/>
    </row>
    <row r="287" spans="2:43" ht="14.7" hidden="1" customHeight="1" outlineLevel="1" x14ac:dyDescent="0.3">
      <c r="B287" s="425">
        <f t="shared" si="6"/>
        <v>14</v>
      </c>
      <c r="C287" s="95" t="s">
        <v>456</v>
      </c>
      <c r="D287" s="474"/>
      <c r="E287" s="474"/>
      <c r="F287" s="91"/>
      <c r="G287" s="91"/>
      <c r="H287" s="91"/>
      <c r="I287" s="91"/>
      <c r="J287" s="91"/>
      <c r="K287" s="91"/>
      <c r="L287" s="91"/>
      <c r="M287" s="91"/>
      <c r="N287" s="91"/>
      <c r="O287" s="91"/>
      <c r="P287" s="91"/>
      <c r="Q287" s="91"/>
      <c r="R287" s="91"/>
      <c r="S287" s="91"/>
      <c r="T287" s="91"/>
      <c r="U287" s="91"/>
      <c r="V287" s="91"/>
      <c r="W287" s="91"/>
      <c r="X287" s="474"/>
      <c r="Y287" s="474"/>
      <c r="Z287" s="91"/>
      <c r="AA287" s="91"/>
      <c r="AB287" s="91"/>
      <c r="AC287" s="91"/>
      <c r="AD287" s="91"/>
      <c r="AE287" s="91"/>
      <c r="AF287" s="91"/>
      <c r="AG287" s="91"/>
      <c r="AH287" s="91"/>
      <c r="AI287" s="91"/>
      <c r="AJ287" s="91"/>
      <c r="AK287" s="91"/>
      <c r="AL287" s="91"/>
      <c r="AM287" s="91"/>
      <c r="AN287" s="91"/>
      <c r="AO287" s="91"/>
      <c r="AP287" s="91"/>
      <c r="AQ287" s="91"/>
    </row>
    <row r="288" spans="2:43" ht="14.7" hidden="1" customHeight="1" outlineLevel="1" x14ac:dyDescent="0.3">
      <c r="B288" s="425">
        <f t="shared" si="6"/>
        <v>15</v>
      </c>
      <c r="C288" s="95" t="s">
        <v>456</v>
      </c>
      <c r="D288" s="474"/>
      <c r="E288" s="474"/>
      <c r="F288" s="91"/>
      <c r="G288" s="91"/>
      <c r="H288" s="91"/>
      <c r="I288" s="91"/>
      <c r="J288" s="91"/>
      <c r="K288" s="91"/>
      <c r="L288" s="91"/>
      <c r="M288" s="91"/>
      <c r="N288" s="91"/>
      <c r="O288" s="91"/>
      <c r="P288" s="91"/>
      <c r="Q288" s="91"/>
      <c r="R288" s="91"/>
      <c r="S288" s="91"/>
      <c r="T288" s="91"/>
      <c r="U288" s="91"/>
      <c r="V288" s="91"/>
      <c r="W288" s="91"/>
      <c r="X288" s="474"/>
      <c r="Y288" s="474"/>
      <c r="Z288" s="91"/>
      <c r="AA288" s="91"/>
      <c r="AB288" s="91"/>
      <c r="AC288" s="91"/>
      <c r="AD288" s="91"/>
      <c r="AE288" s="91"/>
      <c r="AF288" s="91"/>
      <c r="AG288" s="91"/>
      <c r="AH288" s="91"/>
      <c r="AI288" s="91"/>
      <c r="AJ288" s="91"/>
      <c r="AK288" s="91"/>
      <c r="AL288" s="91"/>
      <c r="AM288" s="91"/>
      <c r="AN288" s="91"/>
      <c r="AO288" s="91"/>
      <c r="AP288" s="91"/>
      <c r="AQ288" s="91"/>
    </row>
    <row r="289" spans="2:43" ht="14.7" hidden="1" customHeight="1" outlineLevel="1" x14ac:dyDescent="0.3">
      <c r="B289" s="425">
        <f t="shared" si="6"/>
        <v>16</v>
      </c>
      <c r="C289" s="95" t="s">
        <v>456</v>
      </c>
      <c r="D289" s="474"/>
      <c r="E289" s="474"/>
      <c r="F289" s="91"/>
      <c r="G289" s="91"/>
      <c r="H289" s="91"/>
      <c r="I289" s="91"/>
      <c r="J289" s="91"/>
      <c r="K289" s="91"/>
      <c r="L289" s="91"/>
      <c r="M289" s="91"/>
      <c r="N289" s="91"/>
      <c r="O289" s="91"/>
      <c r="P289" s="91"/>
      <c r="Q289" s="91"/>
      <c r="R289" s="91"/>
      <c r="S289" s="91"/>
      <c r="T289" s="91"/>
      <c r="U289" s="91"/>
      <c r="V289" s="91"/>
      <c r="W289" s="91"/>
      <c r="X289" s="474"/>
      <c r="Y289" s="474"/>
      <c r="Z289" s="91"/>
      <c r="AA289" s="91"/>
      <c r="AB289" s="91"/>
      <c r="AC289" s="91"/>
      <c r="AD289" s="91"/>
      <c r="AE289" s="91"/>
      <c r="AF289" s="91"/>
      <c r="AG289" s="91"/>
      <c r="AH289" s="91"/>
      <c r="AI289" s="91"/>
      <c r="AJ289" s="91"/>
      <c r="AK289" s="91"/>
      <c r="AL289" s="91"/>
      <c r="AM289" s="91"/>
      <c r="AN289" s="91"/>
      <c r="AO289" s="91"/>
      <c r="AP289" s="91"/>
      <c r="AQ289" s="91"/>
    </row>
    <row r="290" spans="2:43" ht="14.7" hidden="1" customHeight="1" outlineLevel="1" x14ac:dyDescent="0.3">
      <c r="B290" s="425">
        <f t="shared" si="6"/>
        <v>17</v>
      </c>
      <c r="C290" s="95" t="s">
        <v>456</v>
      </c>
      <c r="D290" s="474"/>
      <c r="E290" s="474"/>
      <c r="F290" s="91"/>
      <c r="G290" s="91"/>
      <c r="H290" s="91"/>
      <c r="I290" s="91"/>
      <c r="J290" s="91"/>
      <c r="K290" s="91"/>
      <c r="L290" s="91"/>
      <c r="M290" s="91"/>
      <c r="N290" s="91"/>
      <c r="O290" s="91"/>
      <c r="P290" s="91"/>
      <c r="Q290" s="91"/>
      <c r="R290" s="91"/>
      <c r="S290" s="91"/>
      <c r="T290" s="91"/>
      <c r="U290" s="91"/>
      <c r="V290" s="91"/>
      <c r="W290" s="91"/>
      <c r="X290" s="474"/>
      <c r="Y290" s="474"/>
      <c r="Z290" s="91"/>
      <c r="AA290" s="91"/>
      <c r="AB290" s="91"/>
      <c r="AC290" s="91"/>
      <c r="AD290" s="91"/>
      <c r="AE290" s="91"/>
      <c r="AF290" s="91"/>
      <c r="AG290" s="91"/>
      <c r="AH290" s="91"/>
      <c r="AI290" s="91"/>
      <c r="AJ290" s="91"/>
      <c r="AK290" s="91"/>
      <c r="AL290" s="91"/>
      <c r="AM290" s="91"/>
      <c r="AN290" s="91"/>
      <c r="AO290" s="91"/>
      <c r="AP290" s="91"/>
      <c r="AQ290" s="91"/>
    </row>
    <row r="291" spans="2:43" ht="14.7" hidden="1" customHeight="1" outlineLevel="1" x14ac:dyDescent="0.3">
      <c r="B291" s="425">
        <f t="shared" si="6"/>
        <v>18</v>
      </c>
      <c r="C291" s="95" t="s">
        <v>456</v>
      </c>
      <c r="D291" s="474"/>
      <c r="E291" s="474"/>
      <c r="F291" s="91"/>
      <c r="G291" s="91"/>
      <c r="H291" s="91"/>
      <c r="I291" s="91"/>
      <c r="J291" s="91"/>
      <c r="K291" s="91"/>
      <c r="L291" s="91"/>
      <c r="M291" s="91"/>
      <c r="N291" s="91"/>
      <c r="O291" s="91"/>
      <c r="P291" s="91"/>
      <c r="Q291" s="91"/>
      <c r="R291" s="91"/>
      <c r="S291" s="91"/>
      <c r="T291" s="91"/>
      <c r="U291" s="91"/>
      <c r="V291" s="91"/>
      <c r="W291" s="91"/>
      <c r="X291" s="474"/>
      <c r="Y291" s="474"/>
      <c r="Z291" s="91"/>
      <c r="AA291" s="91"/>
      <c r="AB291" s="91"/>
      <c r="AC291" s="91"/>
      <c r="AD291" s="91"/>
      <c r="AE291" s="91"/>
      <c r="AF291" s="91"/>
      <c r="AG291" s="91"/>
      <c r="AH291" s="91"/>
      <c r="AI291" s="91"/>
      <c r="AJ291" s="91"/>
      <c r="AK291" s="91"/>
      <c r="AL291" s="91"/>
      <c r="AM291" s="91"/>
      <c r="AN291" s="91"/>
      <c r="AO291" s="91"/>
      <c r="AP291" s="91"/>
      <c r="AQ291" s="91"/>
    </row>
    <row r="292" spans="2:43" ht="14.7" hidden="1" customHeight="1" outlineLevel="1" x14ac:dyDescent="0.3">
      <c r="B292" s="425">
        <f t="shared" si="6"/>
        <v>19</v>
      </c>
      <c r="C292" s="95" t="s">
        <v>456</v>
      </c>
      <c r="D292" s="474"/>
      <c r="E292" s="474"/>
      <c r="F292" s="91"/>
      <c r="G292" s="91"/>
      <c r="H292" s="91"/>
      <c r="I292" s="91"/>
      <c r="J292" s="91"/>
      <c r="K292" s="91"/>
      <c r="L292" s="91"/>
      <c r="M292" s="91"/>
      <c r="N292" s="91"/>
      <c r="O292" s="91"/>
      <c r="P292" s="91"/>
      <c r="Q292" s="91"/>
      <c r="R292" s="91"/>
      <c r="S292" s="91"/>
      <c r="T292" s="91"/>
      <c r="U292" s="91"/>
      <c r="V292" s="91"/>
      <c r="W292" s="91"/>
      <c r="X292" s="474"/>
      <c r="Y292" s="474"/>
      <c r="Z292" s="91"/>
      <c r="AA292" s="91"/>
      <c r="AB292" s="91"/>
      <c r="AC292" s="91"/>
      <c r="AD292" s="91"/>
      <c r="AE292" s="91"/>
      <c r="AF292" s="91"/>
      <c r="AG292" s="91"/>
      <c r="AH292" s="91"/>
      <c r="AI292" s="91"/>
      <c r="AJ292" s="91"/>
      <c r="AK292" s="91"/>
      <c r="AL292" s="91"/>
      <c r="AM292" s="91"/>
      <c r="AN292" s="91"/>
      <c r="AO292" s="91"/>
      <c r="AP292" s="91"/>
      <c r="AQ292" s="91"/>
    </row>
    <row r="293" spans="2:43" ht="14.7" hidden="1" customHeight="1" outlineLevel="1" x14ac:dyDescent="0.3">
      <c r="B293" s="425">
        <f t="shared" si="6"/>
        <v>20</v>
      </c>
      <c r="C293" s="95" t="s">
        <v>456</v>
      </c>
      <c r="D293" s="474"/>
      <c r="E293" s="474"/>
      <c r="F293" s="91"/>
      <c r="G293" s="91"/>
      <c r="H293" s="91"/>
      <c r="I293" s="91"/>
      <c r="J293" s="91"/>
      <c r="K293" s="91"/>
      <c r="L293" s="91"/>
      <c r="M293" s="91"/>
      <c r="N293" s="91"/>
      <c r="O293" s="91"/>
      <c r="P293" s="91"/>
      <c r="Q293" s="91"/>
      <c r="R293" s="91"/>
      <c r="S293" s="91"/>
      <c r="T293" s="91"/>
      <c r="U293" s="91"/>
      <c r="V293" s="91"/>
      <c r="W293" s="91"/>
      <c r="X293" s="474"/>
      <c r="Y293" s="474"/>
      <c r="Z293" s="91"/>
      <c r="AA293" s="91"/>
      <c r="AB293" s="91"/>
      <c r="AC293" s="91"/>
      <c r="AD293" s="91"/>
      <c r="AE293" s="91"/>
      <c r="AF293" s="91"/>
      <c r="AG293" s="91"/>
      <c r="AH293" s="91"/>
      <c r="AI293" s="91"/>
      <c r="AJ293" s="91"/>
      <c r="AK293" s="91"/>
      <c r="AL293" s="91"/>
      <c r="AM293" s="91"/>
      <c r="AN293" s="91"/>
      <c r="AO293" s="91"/>
      <c r="AP293" s="91"/>
      <c r="AQ293" s="91"/>
    </row>
    <row r="294" spans="2:43" ht="14.7" hidden="1" customHeight="1" outlineLevel="1" x14ac:dyDescent="0.3">
      <c r="B294" s="425">
        <f t="shared" si="6"/>
        <v>21</v>
      </c>
      <c r="C294" s="95" t="s">
        <v>456</v>
      </c>
      <c r="D294" s="474"/>
      <c r="E294" s="474"/>
      <c r="F294" s="91"/>
      <c r="G294" s="91"/>
      <c r="H294" s="91"/>
      <c r="I294" s="91"/>
      <c r="J294" s="91"/>
      <c r="K294" s="91"/>
      <c r="L294" s="91"/>
      <c r="M294" s="91"/>
      <c r="N294" s="91"/>
      <c r="O294" s="91"/>
      <c r="P294" s="91"/>
      <c r="Q294" s="91"/>
      <c r="R294" s="91"/>
      <c r="S294" s="91"/>
      <c r="T294" s="91"/>
      <c r="U294" s="91"/>
      <c r="V294" s="91"/>
      <c r="W294" s="91"/>
      <c r="X294" s="474"/>
      <c r="Y294" s="474"/>
      <c r="Z294" s="91"/>
      <c r="AA294" s="91"/>
      <c r="AB294" s="91"/>
      <c r="AC294" s="91"/>
      <c r="AD294" s="91"/>
      <c r="AE294" s="91"/>
      <c r="AF294" s="91"/>
      <c r="AG294" s="91"/>
      <c r="AH294" s="91"/>
      <c r="AI294" s="91"/>
      <c r="AJ294" s="91"/>
      <c r="AK294" s="91"/>
      <c r="AL294" s="91"/>
      <c r="AM294" s="91"/>
      <c r="AN294" s="91"/>
      <c r="AO294" s="91"/>
      <c r="AP294" s="91"/>
      <c r="AQ294" s="91"/>
    </row>
    <row r="295" spans="2:43" ht="14.7" hidden="1" customHeight="1" outlineLevel="1" x14ac:dyDescent="0.3">
      <c r="B295" s="425">
        <f t="shared" si="6"/>
        <v>22</v>
      </c>
      <c r="C295" s="95" t="s">
        <v>456</v>
      </c>
      <c r="D295" s="474"/>
      <c r="E295" s="474"/>
      <c r="F295" s="91"/>
      <c r="G295" s="91"/>
      <c r="H295" s="91"/>
      <c r="I295" s="91"/>
      <c r="J295" s="91"/>
      <c r="K295" s="91"/>
      <c r="L295" s="91"/>
      <c r="M295" s="91"/>
      <c r="N295" s="91"/>
      <c r="O295" s="91"/>
      <c r="P295" s="91"/>
      <c r="Q295" s="91"/>
      <c r="R295" s="91"/>
      <c r="S295" s="91"/>
      <c r="T295" s="91"/>
      <c r="U295" s="91"/>
      <c r="V295" s="91"/>
      <c r="W295" s="91"/>
      <c r="X295" s="474"/>
      <c r="Y295" s="474"/>
      <c r="Z295" s="91"/>
      <c r="AA295" s="91"/>
      <c r="AB295" s="91"/>
      <c r="AC295" s="91"/>
      <c r="AD295" s="91"/>
      <c r="AE295" s="91"/>
      <c r="AF295" s="91"/>
      <c r="AG295" s="91"/>
      <c r="AH295" s="91"/>
      <c r="AI295" s="91"/>
      <c r="AJ295" s="91"/>
      <c r="AK295" s="91"/>
      <c r="AL295" s="91"/>
      <c r="AM295" s="91"/>
      <c r="AN295" s="91"/>
      <c r="AO295" s="91"/>
      <c r="AP295" s="91"/>
      <c r="AQ295" s="91"/>
    </row>
    <row r="296" spans="2:43" ht="14.7" hidden="1" customHeight="1" outlineLevel="1" x14ac:dyDescent="0.3">
      <c r="B296" s="425">
        <f t="shared" si="6"/>
        <v>23</v>
      </c>
      <c r="C296" s="95" t="s">
        <v>456</v>
      </c>
      <c r="D296" s="474"/>
      <c r="E296" s="474"/>
      <c r="F296" s="91"/>
      <c r="G296" s="91"/>
      <c r="H296" s="91"/>
      <c r="I296" s="91"/>
      <c r="J296" s="91"/>
      <c r="K296" s="91"/>
      <c r="L296" s="91"/>
      <c r="M296" s="91"/>
      <c r="N296" s="91"/>
      <c r="O296" s="91"/>
      <c r="P296" s="91"/>
      <c r="Q296" s="91"/>
      <c r="R296" s="91"/>
      <c r="S296" s="91"/>
      <c r="T296" s="91"/>
      <c r="U296" s="91"/>
      <c r="V296" s="91"/>
      <c r="W296" s="91"/>
      <c r="X296" s="474"/>
      <c r="Y296" s="474"/>
      <c r="Z296" s="91"/>
      <c r="AA296" s="91"/>
      <c r="AB296" s="91"/>
      <c r="AC296" s="91"/>
      <c r="AD296" s="91"/>
      <c r="AE296" s="91"/>
      <c r="AF296" s="91"/>
      <c r="AG296" s="91"/>
      <c r="AH296" s="91"/>
      <c r="AI296" s="91"/>
      <c r="AJ296" s="91"/>
      <c r="AK296" s="91"/>
      <c r="AL296" s="91"/>
      <c r="AM296" s="91"/>
      <c r="AN296" s="91"/>
      <c r="AO296" s="91"/>
      <c r="AP296" s="91"/>
      <c r="AQ296" s="91"/>
    </row>
    <row r="297" spans="2:43" ht="14.7" hidden="1" customHeight="1" outlineLevel="1" x14ac:dyDescent="0.3">
      <c r="B297" s="425">
        <f t="shared" si="6"/>
        <v>24</v>
      </c>
      <c r="C297" s="95" t="s">
        <v>456</v>
      </c>
      <c r="D297" s="474"/>
      <c r="E297" s="474"/>
      <c r="F297" s="91"/>
      <c r="G297" s="91"/>
      <c r="H297" s="91"/>
      <c r="I297" s="91"/>
      <c r="J297" s="91"/>
      <c r="K297" s="91"/>
      <c r="L297" s="91"/>
      <c r="M297" s="91"/>
      <c r="N297" s="91"/>
      <c r="O297" s="91"/>
      <c r="P297" s="91"/>
      <c r="Q297" s="91"/>
      <c r="R297" s="91"/>
      <c r="S297" s="91"/>
      <c r="T297" s="91"/>
      <c r="U297" s="91"/>
      <c r="V297" s="91"/>
      <c r="W297" s="91"/>
      <c r="X297" s="474"/>
      <c r="Y297" s="474"/>
      <c r="Z297" s="91"/>
      <c r="AA297" s="91"/>
      <c r="AB297" s="91"/>
      <c r="AC297" s="91"/>
      <c r="AD297" s="91"/>
      <c r="AE297" s="91"/>
      <c r="AF297" s="91"/>
      <c r="AG297" s="91"/>
      <c r="AH297" s="91"/>
      <c r="AI297" s="91"/>
      <c r="AJ297" s="91"/>
      <c r="AK297" s="91"/>
      <c r="AL297" s="91"/>
      <c r="AM297" s="91"/>
      <c r="AN297" s="91"/>
      <c r="AO297" s="91"/>
      <c r="AP297" s="91"/>
      <c r="AQ297" s="91"/>
    </row>
    <row r="298" spans="2:43" ht="14.7" hidden="1" customHeight="1" outlineLevel="1" x14ac:dyDescent="0.3">
      <c r="B298" s="425">
        <f t="shared" si="6"/>
        <v>25</v>
      </c>
      <c r="C298" s="95" t="s">
        <v>456</v>
      </c>
      <c r="D298" s="474"/>
      <c r="E298" s="474"/>
      <c r="F298" s="91"/>
      <c r="G298" s="91"/>
      <c r="H298" s="91"/>
      <c r="I298" s="91"/>
      <c r="J298" s="91"/>
      <c r="K298" s="91"/>
      <c r="L298" s="91"/>
      <c r="M298" s="91"/>
      <c r="N298" s="91"/>
      <c r="O298" s="91"/>
      <c r="P298" s="91"/>
      <c r="Q298" s="91"/>
      <c r="R298" s="91"/>
      <c r="S298" s="91"/>
      <c r="T298" s="91"/>
      <c r="U298" s="91"/>
      <c r="V298" s="91"/>
      <c r="W298" s="91"/>
      <c r="X298" s="474"/>
      <c r="Y298" s="474"/>
      <c r="Z298" s="91"/>
      <c r="AA298" s="91"/>
      <c r="AB298" s="91"/>
      <c r="AC298" s="91"/>
      <c r="AD298" s="91"/>
      <c r="AE298" s="91"/>
      <c r="AF298" s="91"/>
      <c r="AG298" s="91"/>
      <c r="AH298" s="91"/>
      <c r="AI298" s="91"/>
      <c r="AJ298" s="91"/>
      <c r="AK298" s="91"/>
      <c r="AL298" s="91"/>
      <c r="AM298" s="91"/>
      <c r="AN298" s="91"/>
      <c r="AO298" s="91"/>
      <c r="AP298" s="91"/>
      <c r="AQ298" s="91"/>
    </row>
    <row r="299" spans="2:43" ht="14.7" hidden="1" customHeight="1" outlineLevel="1" x14ac:dyDescent="0.3">
      <c r="B299" s="425">
        <f t="shared" si="6"/>
        <v>26</v>
      </c>
      <c r="C299" s="95" t="s">
        <v>456</v>
      </c>
      <c r="D299" s="474"/>
      <c r="E299" s="474"/>
      <c r="F299" s="91"/>
      <c r="G299" s="91"/>
      <c r="H299" s="91"/>
      <c r="I299" s="91"/>
      <c r="J299" s="91"/>
      <c r="K299" s="91"/>
      <c r="L299" s="91"/>
      <c r="M299" s="91"/>
      <c r="N299" s="91"/>
      <c r="O299" s="91"/>
      <c r="P299" s="91"/>
      <c r="Q299" s="91"/>
      <c r="R299" s="91"/>
      <c r="S299" s="91"/>
      <c r="T299" s="91"/>
      <c r="U299" s="91"/>
      <c r="V299" s="91"/>
      <c r="W299" s="91"/>
      <c r="X299" s="474"/>
      <c r="Y299" s="474"/>
      <c r="Z299" s="91"/>
      <c r="AA299" s="91"/>
      <c r="AB299" s="91"/>
      <c r="AC299" s="91"/>
      <c r="AD299" s="91"/>
      <c r="AE299" s="91"/>
      <c r="AF299" s="91"/>
      <c r="AG299" s="91"/>
      <c r="AH299" s="91"/>
      <c r="AI299" s="91"/>
      <c r="AJ299" s="91"/>
      <c r="AK299" s="91"/>
      <c r="AL299" s="91"/>
      <c r="AM299" s="91"/>
      <c r="AN299" s="91"/>
      <c r="AO299" s="91"/>
      <c r="AP299" s="91"/>
      <c r="AQ299" s="91"/>
    </row>
    <row r="300" spans="2:43" ht="14.7" hidden="1" customHeight="1" outlineLevel="1" x14ac:dyDescent="0.3">
      <c r="B300" s="425">
        <f t="shared" si="6"/>
        <v>27</v>
      </c>
      <c r="C300" s="95" t="s">
        <v>456</v>
      </c>
      <c r="D300" s="474"/>
      <c r="E300" s="474"/>
      <c r="F300" s="91"/>
      <c r="G300" s="91"/>
      <c r="H300" s="91"/>
      <c r="I300" s="91"/>
      <c r="J300" s="91"/>
      <c r="K300" s="91"/>
      <c r="L300" s="91"/>
      <c r="M300" s="91"/>
      <c r="N300" s="91"/>
      <c r="O300" s="91"/>
      <c r="P300" s="91"/>
      <c r="Q300" s="91"/>
      <c r="R300" s="91"/>
      <c r="S300" s="91"/>
      <c r="T300" s="91"/>
      <c r="U300" s="91"/>
      <c r="V300" s="91"/>
      <c r="W300" s="91"/>
      <c r="X300" s="474"/>
      <c r="Y300" s="474"/>
      <c r="Z300" s="91"/>
      <c r="AA300" s="91"/>
      <c r="AB300" s="91"/>
      <c r="AC300" s="91"/>
      <c r="AD300" s="91"/>
      <c r="AE300" s="91"/>
      <c r="AF300" s="91"/>
      <c r="AG300" s="91"/>
      <c r="AH300" s="91"/>
      <c r="AI300" s="91"/>
      <c r="AJ300" s="91"/>
      <c r="AK300" s="91"/>
      <c r="AL300" s="91"/>
      <c r="AM300" s="91"/>
      <c r="AN300" s="91"/>
      <c r="AO300" s="91"/>
      <c r="AP300" s="91"/>
      <c r="AQ300" s="91"/>
    </row>
    <row r="301" spans="2:43" ht="14.7" hidden="1" customHeight="1" outlineLevel="1" x14ac:dyDescent="0.3">
      <c r="B301" s="425">
        <f t="shared" si="6"/>
        <v>28</v>
      </c>
      <c r="C301" s="95" t="s">
        <v>456</v>
      </c>
      <c r="D301" s="474"/>
      <c r="E301" s="474"/>
      <c r="F301" s="91"/>
      <c r="G301" s="91"/>
      <c r="H301" s="91"/>
      <c r="I301" s="91"/>
      <c r="J301" s="91"/>
      <c r="K301" s="91"/>
      <c r="L301" s="91"/>
      <c r="M301" s="91"/>
      <c r="N301" s="91"/>
      <c r="O301" s="91"/>
      <c r="P301" s="91"/>
      <c r="Q301" s="91"/>
      <c r="R301" s="91"/>
      <c r="S301" s="91"/>
      <c r="T301" s="91"/>
      <c r="U301" s="91"/>
      <c r="V301" s="91"/>
      <c r="W301" s="91"/>
      <c r="X301" s="474"/>
      <c r="Y301" s="474"/>
      <c r="Z301" s="91"/>
      <c r="AA301" s="91"/>
      <c r="AB301" s="91"/>
      <c r="AC301" s="91"/>
      <c r="AD301" s="91"/>
      <c r="AE301" s="91"/>
      <c r="AF301" s="91"/>
      <c r="AG301" s="91"/>
      <c r="AH301" s="91"/>
      <c r="AI301" s="91"/>
      <c r="AJ301" s="91"/>
      <c r="AK301" s="91"/>
      <c r="AL301" s="91"/>
      <c r="AM301" s="91"/>
      <c r="AN301" s="91"/>
      <c r="AO301" s="91"/>
      <c r="AP301" s="91"/>
      <c r="AQ301" s="91"/>
    </row>
    <row r="302" spans="2:43" ht="14.7" hidden="1" customHeight="1" outlineLevel="1" x14ac:dyDescent="0.3">
      <c r="B302" s="425">
        <f t="shared" si="6"/>
        <v>29</v>
      </c>
      <c r="C302" s="95" t="s">
        <v>456</v>
      </c>
      <c r="D302" s="474"/>
      <c r="E302" s="474"/>
      <c r="F302" s="91"/>
      <c r="G302" s="91"/>
      <c r="H302" s="91"/>
      <c r="I302" s="91"/>
      <c r="J302" s="91"/>
      <c r="K302" s="91"/>
      <c r="L302" s="91"/>
      <c r="M302" s="91"/>
      <c r="N302" s="91"/>
      <c r="O302" s="91"/>
      <c r="P302" s="91"/>
      <c r="Q302" s="91"/>
      <c r="R302" s="91"/>
      <c r="S302" s="91"/>
      <c r="T302" s="91"/>
      <c r="U302" s="91"/>
      <c r="V302" s="91"/>
      <c r="W302" s="91"/>
      <c r="X302" s="474"/>
      <c r="Y302" s="474"/>
      <c r="Z302" s="91"/>
      <c r="AA302" s="91"/>
      <c r="AB302" s="91"/>
      <c r="AC302" s="91"/>
      <c r="AD302" s="91"/>
      <c r="AE302" s="91"/>
      <c r="AF302" s="91"/>
      <c r="AG302" s="91"/>
      <c r="AH302" s="91"/>
      <c r="AI302" s="91"/>
      <c r="AJ302" s="91"/>
      <c r="AK302" s="91"/>
      <c r="AL302" s="91"/>
      <c r="AM302" s="91"/>
      <c r="AN302" s="91"/>
      <c r="AO302" s="91"/>
      <c r="AP302" s="91"/>
      <c r="AQ302" s="91"/>
    </row>
    <row r="303" spans="2:43" ht="14.7" hidden="1" customHeight="1" outlineLevel="1" x14ac:dyDescent="0.3">
      <c r="B303" s="425">
        <f t="shared" si="6"/>
        <v>30</v>
      </c>
      <c r="C303" s="95" t="s">
        <v>456</v>
      </c>
      <c r="D303" s="474"/>
      <c r="E303" s="474"/>
      <c r="F303" s="91"/>
      <c r="G303" s="91"/>
      <c r="H303" s="91"/>
      <c r="I303" s="91"/>
      <c r="J303" s="91"/>
      <c r="K303" s="91"/>
      <c r="L303" s="91"/>
      <c r="M303" s="91"/>
      <c r="N303" s="91"/>
      <c r="O303" s="91"/>
      <c r="P303" s="91"/>
      <c r="Q303" s="91"/>
      <c r="R303" s="91"/>
      <c r="S303" s="91"/>
      <c r="T303" s="91"/>
      <c r="U303" s="91"/>
      <c r="V303" s="91"/>
      <c r="W303" s="91"/>
      <c r="X303" s="474"/>
      <c r="Y303" s="474"/>
      <c r="Z303" s="91"/>
      <c r="AA303" s="91"/>
      <c r="AB303" s="91"/>
      <c r="AC303" s="91"/>
      <c r="AD303" s="91"/>
      <c r="AE303" s="91"/>
      <c r="AF303" s="91"/>
      <c r="AG303" s="91"/>
      <c r="AH303" s="91"/>
      <c r="AI303" s="91"/>
      <c r="AJ303" s="91"/>
      <c r="AK303" s="91"/>
      <c r="AL303" s="91"/>
      <c r="AM303" s="91"/>
      <c r="AN303" s="91"/>
      <c r="AO303" s="91"/>
      <c r="AP303" s="91"/>
      <c r="AQ303" s="91"/>
    </row>
    <row r="304" spans="2:43" ht="14.7" hidden="1" customHeight="1" outlineLevel="1" x14ac:dyDescent="0.3">
      <c r="B304" s="425">
        <f t="shared" si="6"/>
        <v>31</v>
      </c>
      <c r="C304" s="95" t="s">
        <v>456</v>
      </c>
      <c r="D304" s="474"/>
      <c r="E304" s="474"/>
      <c r="F304" s="91"/>
      <c r="G304" s="91"/>
      <c r="H304" s="91"/>
      <c r="I304" s="91"/>
      <c r="J304" s="91"/>
      <c r="K304" s="91"/>
      <c r="L304" s="91"/>
      <c r="M304" s="91"/>
      <c r="N304" s="91"/>
      <c r="O304" s="91"/>
      <c r="P304" s="91"/>
      <c r="Q304" s="91"/>
      <c r="R304" s="91"/>
      <c r="S304" s="91"/>
      <c r="T304" s="91"/>
      <c r="U304" s="91"/>
      <c r="V304" s="91"/>
      <c r="W304" s="91"/>
      <c r="X304" s="474"/>
      <c r="Y304" s="474"/>
      <c r="Z304" s="91"/>
      <c r="AA304" s="91"/>
      <c r="AB304" s="91"/>
      <c r="AC304" s="91"/>
      <c r="AD304" s="91"/>
      <c r="AE304" s="91"/>
      <c r="AF304" s="91"/>
      <c r="AG304" s="91"/>
      <c r="AH304" s="91"/>
      <c r="AI304" s="91"/>
      <c r="AJ304" s="91"/>
      <c r="AK304" s="91"/>
      <c r="AL304" s="91"/>
      <c r="AM304" s="91"/>
      <c r="AN304" s="91"/>
      <c r="AO304" s="91"/>
      <c r="AP304" s="91"/>
      <c r="AQ304" s="91"/>
    </row>
    <row r="305" spans="2:43" ht="14.7" hidden="1" customHeight="1" outlineLevel="1" x14ac:dyDescent="0.3">
      <c r="B305" s="425">
        <f t="shared" si="6"/>
        <v>32</v>
      </c>
      <c r="C305" s="95" t="s">
        <v>456</v>
      </c>
      <c r="D305" s="474"/>
      <c r="E305" s="474"/>
      <c r="F305" s="91"/>
      <c r="G305" s="91"/>
      <c r="H305" s="91"/>
      <c r="I305" s="91"/>
      <c r="J305" s="91"/>
      <c r="K305" s="91"/>
      <c r="L305" s="91"/>
      <c r="M305" s="91"/>
      <c r="N305" s="91"/>
      <c r="O305" s="91"/>
      <c r="P305" s="91"/>
      <c r="Q305" s="91"/>
      <c r="R305" s="91"/>
      <c r="S305" s="91"/>
      <c r="T305" s="91"/>
      <c r="U305" s="91"/>
      <c r="V305" s="91"/>
      <c r="W305" s="91"/>
      <c r="X305" s="474"/>
      <c r="Y305" s="474"/>
      <c r="Z305" s="91"/>
      <c r="AA305" s="91"/>
      <c r="AB305" s="91"/>
      <c r="AC305" s="91"/>
      <c r="AD305" s="91"/>
      <c r="AE305" s="91"/>
      <c r="AF305" s="91"/>
      <c r="AG305" s="91"/>
      <c r="AH305" s="91"/>
      <c r="AI305" s="91"/>
      <c r="AJ305" s="91"/>
      <c r="AK305" s="91"/>
      <c r="AL305" s="91"/>
      <c r="AM305" s="91"/>
      <c r="AN305" s="91"/>
      <c r="AO305" s="91"/>
      <c r="AP305" s="91"/>
      <c r="AQ305" s="91"/>
    </row>
    <row r="306" spans="2:43" ht="14.7" hidden="1" customHeight="1" outlineLevel="1" x14ac:dyDescent="0.3">
      <c r="B306" s="425">
        <f t="shared" si="6"/>
        <v>33</v>
      </c>
      <c r="C306" s="95" t="s">
        <v>456</v>
      </c>
      <c r="D306" s="474"/>
      <c r="E306" s="474"/>
      <c r="F306" s="91"/>
      <c r="G306" s="91"/>
      <c r="H306" s="91"/>
      <c r="I306" s="91"/>
      <c r="J306" s="91"/>
      <c r="K306" s="91"/>
      <c r="L306" s="91"/>
      <c r="M306" s="91"/>
      <c r="N306" s="91"/>
      <c r="O306" s="91"/>
      <c r="P306" s="91"/>
      <c r="Q306" s="91"/>
      <c r="R306" s="91"/>
      <c r="S306" s="91"/>
      <c r="T306" s="91"/>
      <c r="U306" s="91"/>
      <c r="V306" s="91"/>
      <c r="W306" s="91"/>
      <c r="X306" s="474"/>
      <c r="Y306" s="474"/>
      <c r="Z306" s="91"/>
      <c r="AA306" s="91"/>
      <c r="AB306" s="91"/>
      <c r="AC306" s="91"/>
      <c r="AD306" s="91"/>
      <c r="AE306" s="91"/>
      <c r="AF306" s="91"/>
      <c r="AG306" s="91"/>
      <c r="AH306" s="91"/>
      <c r="AI306" s="91"/>
      <c r="AJ306" s="91"/>
      <c r="AK306" s="91"/>
      <c r="AL306" s="91"/>
      <c r="AM306" s="91"/>
      <c r="AN306" s="91"/>
      <c r="AO306" s="91"/>
      <c r="AP306" s="91"/>
      <c r="AQ306" s="91"/>
    </row>
    <row r="307" spans="2:43" ht="14.7" hidden="1" customHeight="1" outlineLevel="1" x14ac:dyDescent="0.3">
      <c r="B307" s="425">
        <f t="shared" si="6"/>
        <v>34</v>
      </c>
      <c r="C307" s="95" t="s">
        <v>456</v>
      </c>
      <c r="D307" s="474"/>
      <c r="E307" s="474"/>
      <c r="F307" s="91"/>
      <c r="G307" s="91"/>
      <c r="H307" s="91"/>
      <c r="I307" s="91"/>
      <c r="J307" s="91"/>
      <c r="K307" s="91"/>
      <c r="L307" s="91"/>
      <c r="M307" s="91"/>
      <c r="N307" s="91"/>
      <c r="O307" s="91"/>
      <c r="P307" s="91"/>
      <c r="Q307" s="91"/>
      <c r="R307" s="91"/>
      <c r="S307" s="91"/>
      <c r="T307" s="91"/>
      <c r="U307" s="91"/>
      <c r="V307" s="91"/>
      <c r="W307" s="91"/>
      <c r="X307" s="474"/>
      <c r="Y307" s="474"/>
      <c r="Z307" s="91"/>
      <c r="AA307" s="91"/>
      <c r="AB307" s="91"/>
      <c r="AC307" s="91"/>
      <c r="AD307" s="91"/>
      <c r="AE307" s="91"/>
      <c r="AF307" s="91"/>
      <c r="AG307" s="91"/>
      <c r="AH307" s="91"/>
      <c r="AI307" s="91"/>
      <c r="AJ307" s="91"/>
      <c r="AK307" s="91"/>
      <c r="AL307" s="91"/>
      <c r="AM307" s="91"/>
      <c r="AN307" s="91"/>
      <c r="AO307" s="91"/>
      <c r="AP307" s="91"/>
      <c r="AQ307" s="91"/>
    </row>
    <row r="308" spans="2:43" ht="14.7" hidden="1" customHeight="1" outlineLevel="1" x14ac:dyDescent="0.3">
      <c r="B308" s="425">
        <f t="shared" si="6"/>
        <v>35</v>
      </c>
      <c r="C308" s="95" t="s">
        <v>456</v>
      </c>
      <c r="D308" s="474"/>
      <c r="E308" s="474"/>
      <c r="F308" s="91"/>
      <c r="G308" s="91"/>
      <c r="H308" s="91"/>
      <c r="I308" s="91"/>
      <c r="J308" s="91"/>
      <c r="K308" s="91"/>
      <c r="L308" s="91"/>
      <c r="M308" s="91"/>
      <c r="N308" s="91"/>
      <c r="O308" s="91"/>
      <c r="P308" s="91"/>
      <c r="Q308" s="91"/>
      <c r="R308" s="91"/>
      <c r="S308" s="91"/>
      <c r="T308" s="91"/>
      <c r="U308" s="91"/>
      <c r="V308" s="91"/>
      <c r="W308" s="91"/>
      <c r="X308" s="474"/>
      <c r="Y308" s="474"/>
      <c r="Z308" s="91"/>
      <c r="AA308" s="91"/>
      <c r="AB308" s="91"/>
      <c r="AC308" s="91"/>
      <c r="AD308" s="91"/>
      <c r="AE308" s="91"/>
      <c r="AF308" s="91"/>
      <c r="AG308" s="91"/>
      <c r="AH308" s="91"/>
      <c r="AI308" s="91"/>
      <c r="AJ308" s="91"/>
      <c r="AK308" s="91"/>
      <c r="AL308" s="91"/>
      <c r="AM308" s="91"/>
      <c r="AN308" s="91"/>
      <c r="AO308" s="91"/>
      <c r="AP308" s="91"/>
      <c r="AQ308" s="91"/>
    </row>
    <row r="309" spans="2:43" ht="14.7" hidden="1" customHeight="1" outlineLevel="1" x14ac:dyDescent="0.3">
      <c r="B309" s="425">
        <f t="shared" si="6"/>
        <v>36</v>
      </c>
      <c r="C309" s="95" t="s">
        <v>456</v>
      </c>
      <c r="D309" s="474"/>
      <c r="E309" s="474"/>
      <c r="F309" s="91"/>
      <c r="G309" s="91"/>
      <c r="H309" s="91"/>
      <c r="I309" s="91"/>
      <c r="J309" s="91"/>
      <c r="K309" s="91"/>
      <c r="L309" s="91"/>
      <c r="M309" s="91"/>
      <c r="N309" s="91"/>
      <c r="O309" s="91"/>
      <c r="P309" s="91"/>
      <c r="Q309" s="91"/>
      <c r="R309" s="91"/>
      <c r="S309" s="91"/>
      <c r="T309" s="91"/>
      <c r="U309" s="91"/>
      <c r="V309" s="91"/>
      <c r="W309" s="91"/>
      <c r="X309" s="474"/>
      <c r="Y309" s="474"/>
      <c r="Z309" s="91"/>
      <c r="AA309" s="91"/>
      <c r="AB309" s="91"/>
      <c r="AC309" s="91"/>
      <c r="AD309" s="91"/>
      <c r="AE309" s="91"/>
      <c r="AF309" s="91"/>
      <c r="AG309" s="91"/>
      <c r="AH309" s="91"/>
      <c r="AI309" s="91"/>
      <c r="AJ309" s="91"/>
      <c r="AK309" s="91"/>
      <c r="AL309" s="91"/>
      <c r="AM309" s="91"/>
      <c r="AN309" s="91"/>
      <c r="AO309" s="91"/>
      <c r="AP309" s="91"/>
      <c r="AQ309" s="91"/>
    </row>
    <row r="310" spans="2:43" ht="14.7" hidden="1" customHeight="1" outlineLevel="1" x14ac:dyDescent="0.3">
      <c r="B310" s="425">
        <f t="shared" si="6"/>
        <v>37</v>
      </c>
      <c r="C310" s="95" t="s">
        <v>456</v>
      </c>
      <c r="D310" s="474"/>
      <c r="E310" s="474"/>
      <c r="F310" s="91"/>
      <c r="G310" s="91"/>
      <c r="H310" s="91"/>
      <c r="I310" s="91"/>
      <c r="J310" s="91"/>
      <c r="K310" s="91"/>
      <c r="L310" s="91"/>
      <c r="M310" s="91"/>
      <c r="N310" s="91"/>
      <c r="O310" s="91"/>
      <c r="P310" s="91"/>
      <c r="Q310" s="91"/>
      <c r="R310" s="91"/>
      <c r="S310" s="91"/>
      <c r="T310" s="91"/>
      <c r="U310" s="91"/>
      <c r="V310" s="91"/>
      <c r="W310" s="91"/>
      <c r="X310" s="474"/>
      <c r="Y310" s="474"/>
      <c r="Z310" s="91"/>
      <c r="AA310" s="91"/>
      <c r="AB310" s="91"/>
      <c r="AC310" s="91"/>
      <c r="AD310" s="91"/>
      <c r="AE310" s="91"/>
      <c r="AF310" s="91"/>
      <c r="AG310" s="91"/>
      <c r="AH310" s="91"/>
      <c r="AI310" s="91"/>
      <c r="AJ310" s="91"/>
      <c r="AK310" s="91"/>
      <c r="AL310" s="91"/>
      <c r="AM310" s="91"/>
      <c r="AN310" s="91"/>
      <c r="AO310" s="91"/>
      <c r="AP310" s="91"/>
      <c r="AQ310" s="91"/>
    </row>
    <row r="311" spans="2:43" ht="14.7" hidden="1" customHeight="1" outlineLevel="1" x14ac:dyDescent="0.3">
      <c r="B311" s="425">
        <f t="shared" si="6"/>
        <v>38</v>
      </c>
      <c r="C311" s="95" t="s">
        <v>456</v>
      </c>
      <c r="D311" s="474"/>
      <c r="E311" s="474"/>
      <c r="F311" s="91"/>
      <c r="G311" s="91"/>
      <c r="H311" s="91"/>
      <c r="I311" s="91"/>
      <c r="J311" s="91"/>
      <c r="K311" s="91"/>
      <c r="L311" s="91"/>
      <c r="M311" s="91"/>
      <c r="N311" s="91"/>
      <c r="O311" s="91"/>
      <c r="P311" s="91"/>
      <c r="Q311" s="91"/>
      <c r="R311" s="91"/>
      <c r="S311" s="91"/>
      <c r="T311" s="91"/>
      <c r="U311" s="91"/>
      <c r="V311" s="91"/>
      <c r="W311" s="91"/>
      <c r="X311" s="474"/>
      <c r="Y311" s="474"/>
      <c r="Z311" s="91"/>
      <c r="AA311" s="91"/>
      <c r="AB311" s="91"/>
      <c r="AC311" s="91"/>
      <c r="AD311" s="91"/>
      <c r="AE311" s="91"/>
      <c r="AF311" s="91"/>
      <c r="AG311" s="91"/>
      <c r="AH311" s="91"/>
      <c r="AI311" s="91"/>
      <c r="AJ311" s="91"/>
      <c r="AK311" s="91"/>
      <c r="AL311" s="91"/>
      <c r="AM311" s="91"/>
      <c r="AN311" s="91"/>
      <c r="AO311" s="91"/>
      <c r="AP311" s="91"/>
      <c r="AQ311" s="91"/>
    </row>
    <row r="312" spans="2:43" ht="14.7" hidden="1" customHeight="1" outlineLevel="1" x14ac:dyDescent="0.3">
      <c r="B312" s="425">
        <f t="shared" si="6"/>
        <v>39</v>
      </c>
      <c r="C312" s="95" t="s">
        <v>456</v>
      </c>
      <c r="D312" s="474"/>
      <c r="E312" s="474"/>
      <c r="F312" s="91"/>
      <c r="G312" s="91"/>
      <c r="H312" s="91"/>
      <c r="I312" s="91"/>
      <c r="J312" s="91"/>
      <c r="K312" s="91"/>
      <c r="L312" s="91"/>
      <c r="M312" s="91"/>
      <c r="N312" s="91"/>
      <c r="O312" s="91"/>
      <c r="P312" s="91"/>
      <c r="Q312" s="91"/>
      <c r="R312" s="91"/>
      <c r="S312" s="91"/>
      <c r="T312" s="91"/>
      <c r="U312" s="91"/>
      <c r="V312" s="91"/>
      <c r="W312" s="91"/>
      <c r="X312" s="474"/>
      <c r="Y312" s="474"/>
      <c r="Z312" s="91"/>
      <c r="AA312" s="91"/>
      <c r="AB312" s="91"/>
      <c r="AC312" s="91"/>
      <c r="AD312" s="91"/>
      <c r="AE312" s="91"/>
      <c r="AF312" s="91"/>
      <c r="AG312" s="91"/>
      <c r="AH312" s="91"/>
      <c r="AI312" s="91"/>
      <c r="AJ312" s="91"/>
      <c r="AK312" s="91"/>
      <c r="AL312" s="91"/>
      <c r="AM312" s="91"/>
      <c r="AN312" s="91"/>
      <c r="AO312" s="91"/>
      <c r="AP312" s="91"/>
      <c r="AQ312" s="91"/>
    </row>
    <row r="313" spans="2:43" ht="14.7" hidden="1" customHeight="1" outlineLevel="1" x14ac:dyDescent="0.3">
      <c r="B313" s="425">
        <f t="shared" si="6"/>
        <v>40</v>
      </c>
      <c r="C313" s="95" t="s">
        <v>456</v>
      </c>
      <c r="D313" s="474"/>
      <c r="E313" s="474"/>
      <c r="F313" s="91"/>
      <c r="G313" s="91"/>
      <c r="H313" s="91"/>
      <c r="I313" s="91"/>
      <c r="J313" s="91"/>
      <c r="K313" s="91"/>
      <c r="L313" s="91"/>
      <c r="M313" s="91"/>
      <c r="N313" s="91"/>
      <c r="O313" s="91"/>
      <c r="P313" s="91"/>
      <c r="Q313" s="91"/>
      <c r="R313" s="91"/>
      <c r="S313" s="91"/>
      <c r="T313" s="91"/>
      <c r="U313" s="91"/>
      <c r="V313" s="91"/>
      <c r="W313" s="91"/>
      <c r="X313" s="474"/>
      <c r="Y313" s="474"/>
      <c r="Z313" s="91"/>
      <c r="AA313" s="91"/>
      <c r="AB313" s="91"/>
      <c r="AC313" s="91"/>
      <c r="AD313" s="91"/>
      <c r="AE313" s="91"/>
      <c r="AF313" s="91"/>
      <c r="AG313" s="91"/>
      <c r="AH313" s="91"/>
      <c r="AI313" s="91"/>
      <c r="AJ313" s="91"/>
      <c r="AK313" s="91"/>
      <c r="AL313" s="91"/>
      <c r="AM313" s="91"/>
      <c r="AN313" s="91"/>
      <c r="AO313" s="91"/>
      <c r="AP313" s="91"/>
      <c r="AQ313" s="91"/>
    </row>
    <row r="314" spans="2:43" ht="14.7" hidden="1" customHeight="1" outlineLevel="1" x14ac:dyDescent="0.3">
      <c r="B314" s="425">
        <f t="shared" si="6"/>
        <v>41</v>
      </c>
      <c r="C314" s="95" t="s">
        <v>456</v>
      </c>
      <c r="D314" s="474"/>
      <c r="E314" s="474"/>
      <c r="F314" s="91"/>
      <c r="G314" s="91"/>
      <c r="H314" s="91"/>
      <c r="I314" s="91"/>
      <c r="J314" s="91"/>
      <c r="K314" s="91"/>
      <c r="L314" s="91"/>
      <c r="M314" s="91"/>
      <c r="N314" s="91"/>
      <c r="O314" s="91"/>
      <c r="P314" s="91"/>
      <c r="Q314" s="91"/>
      <c r="R314" s="91"/>
      <c r="S314" s="91"/>
      <c r="T314" s="91"/>
      <c r="U314" s="91"/>
      <c r="V314" s="91"/>
      <c r="W314" s="91"/>
      <c r="X314" s="474"/>
      <c r="Y314" s="474"/>
      <c r="Z314" s="91"/>
      <c r="AA314" s="91"/>
      <c r="AB314" s="91"/>
      <c r="AC314" s="91"/>
      <c r="AD314" s="91"/>
      <c r="AE314" s="91"/>
      <c r="AF314" s="91"/>
      <c r="AG314" s="91"/>
      <c r="AH314" s="91"/>
      <c r="AI314" s="91"/>
      <c r="AJ314" s="91"/>
      <c r="AK314" s="91"/>
      <c r="AL314" s="91"/>
      <c r="AM314" s="91"/>
      <c r="AN314" s="91"/>
      <c r="AO314" s="91"/>
      <c r="AP314" s="91"/>
      <c r="AQ314" s="91"/>
    </row>
    <row r="315" spans="2:43" ht="14.7" hidden="1" customHeight="1" outlineLevel="1" x14ac:dyDescent="0.3">
      <c r="B315" s="425">
        <f t="shared" si="6"/>
        <v>42</v>
      </c>
      <c r="C315" s="95" t="s">
        <v>456</v>
      </c>
      <c r="D315" s="474"/>
      <c r="E315" s="474"/>
      <c r="F315" s="91"/>
      <c r="G315" s="91"/>
      <c r="H315" s="91"/>
      <c r="I315" s="91"/>
      <c r="J315" s="91"/>
      <c r="K315" s="91"/>
      <c r="L315" s="91"/>
      <c r="M315" s="91"/>
      <c r="N315" s="91"/>
      <c r="O315" s="91"/>
      <c r="P315" s="91"/>
      <c r="Q315" s="91"/>
      <c r="R315" s="91"/>
      <c r="S315" s="91"/>
      <c r="T315" s="91"/>
      <c r="U315" s="91"/>
      <c r="V315" s="91"/>
      <c r="W315" s="91"/>
      <c r="X315" s="474"/>
      <c r="Y315" s="474"/>
      <c r="Z315" s="91"/>
      <c r="AA315" s="91"/>
      <c r="AB315" s="91"/>
      <c r="AC315" s="91"/>
      <c r="AD315" s="91"/>
      <c r="AE315" s="91"/>
      <c r="AF315" s="91"/>
      <c r="AG315" s="91"/>
      <c r="AH315" s="91"/>
      <c r="AI315" s="91"/>
      <c r="AJ315" s="91"/>
      <c r="AK315" s="91"/>
      <c r="AL315" s="91"/>
      <c r="AM315" s="91"/>
      <c r="AN315" s="91"/>
      <c r="AO315" s="91"/>
      <c r="AP315" s="91"/>
      <c r="AQ315" s="91"/>
    </row>
    <row r="316" spans="2:43" ht="14.7" hidden="1" customHeight="1" outlineLevel="1" x14ac:dyDescent="0.3">
      <c r="B316" s="425">
        <f t="shared" si="6"/>
        <v>43</v>
      </c>
      <c r="C316" s="95" t="s">
        <v>456</v>
      </c>
      <c r="D316" s="474"/>
      <c r="E316" s="474"/>
      <c r="F316" s="91"/>
      <c r="G316" s="91"/>
      <c r="H316" s="91"/>
      <c r="I316" s="91"/>
      <c r="J316" s="91"/>
      <c r="K316" s="91"/>
      <c r="L316" s="91"/>
      <c r="M316" s="91"/>
      <c r="N316" s="91"/>
      <c r="O316" s="91"/>
      <c r="P316" s="91"/>
      <c r="Q316" s="91"/>
      <c r="R316" s="91"/>
      <c r="S316" s="91"/>
      <c r="T316" s="91"/>
      <c r="U316" s="91"/>
      <c r="V316" s="91"/>
      <c r="W316" s="91"/>
      <c r="X316" s="474"/>
      <c r="Y316" s="474"/>
      <c r="Z316" s="91"/>
      <c r="AA316" s="91"/>
      <c r="AB316" s="91"/>
      <c r="AC316" s="91"/>
      <c r="AD316" s="91"/>
      <c r="AE316" s="91"/>
      <c r="AF316" s="91"/>
      <c r="AG316" s="91"/>
      <c r="AH316" s="91"/>
      <c r="AI316" s="91"/>
      <c r="AJ316" s="91"/>
      <c r="AK316" s="91"/>
      <c r="AL316" s="91"/>
      <c r="AM316" s="91"/>
      <c r="AN316" s="91"/>
      <c r="AO316" s="91"/>
      <c r="AP316" s="91"/>
      <c r="AQ316" s="91"/>
    </row>
    <row r="317" spans="2:43" ht="14.7" hidden="1" customHeight="1" outlineLevel="1" x14ac:dyDescent="0.3">
      <c r="B317" s="425">
        <f t="shared" si="6"/>
        <v>44</v>
      </c>
      <c r="C317" s="95" t="s">
        <v>456</v>
      </c>
      <c r="D317" s="474"/>
      <c r="E317" s="474"/>
      <c r="F317" s="91"/>
      <c r="G317" s="91"/>
      <c r="H317" s="91"/>
      <c r="I317" s="91"/>
      <c r="J317" s="91"/>
      <c r="K317" s="91"/>
      <c r="L317" s="91"/>
      <c r="M317" s="91"/>
      <c r="N317" s="91"/>
      <c r="O317" s="91"/>
      <c r="P317" s="91"/>
      <c r="Q317" s="91"/>
      <c r="R317" s="91"/>
      <c r="S317" s="91"/>
      <c r="T317" s="91"/>
      <c r="U317" s="91"/>
      <c r="V317" s="91"/>
      <c r="W317" s="91"/>
      <c r="X317" s="474"/>
      <c r="Y317" s="474"/>
      <c r="Z317" s="91"/>
      <c r="AA317" s="91"/>
      <c r="AB317" s="91"/>
      <c r="AC317" s="91"/>
      <c r="AD317" s="91"/>
      <c r="AE317" s="91"/>
      <c r="AF317" s="91"/>
      <c r="AG317" s="91"/>
      <c r="AH317" s="91"/>
      <c r="AI317" s="91"/>
      <c r="AJ317" s="91"/>
      <c r="AK317" s="91"/>
      <c r="AL317" s="91"/>
      <c r="AM317" s="91"/>
      <c r="AN317" s="91"/>
      <c r="AO317" s="91"/>
      <c r="AP317" s="91"/>
      <c r="AQ317" s="91"/>
    </row>
    <row r="318" spans="2:43" ht="14.7" hidden="1" customHeight="1" outlineLevel="1" x14ac:dyDescent="0.3">
      <c r="B318" s="425">
        <f t="shared" si="6"/>
        <v>45</v>
      </c>
      <c r="C318" s="95" t="s">
        <v>456</v>
      </c>
      <c r="D318" s="474"/>
      <c r="E318" s="474"/>
      <c r="F318" s="91"/>
      <c r="G318" s="91"/>
      <c r="H318" s="91"/>
      <c r="I318" s="91"/>
      <c r="J318" s="91"/>
      <c r="K318" s="91"/>
      <c r="L318" s="91"/>
      <c r="M318" s="91"/>
      <c r="N318" s="91"/>
      <c r="O318" s="91"/>
      <c r="P318" s="91"/>
      <c r="Q318" s="91"/>
      <c r="R318" s="91"/>
      <c r="S318" s="91"/>
      <c r="T318" s="91"/>
      <c r="U318" s="91"/>
      <c r="V318" s="91"/>
      <c r="W318" s="91"/>
      <c r="X318" s="474"/>
      <c r="Y318" s="474"/>
      <c r="Z318" s="91"/>
      <c r="AA318" s="91"/>
      <c r="AB318" s="91"/>
      <c r="AC318" s="91"/>
      <c r="AD318" s="91"/>
      <c r="AE318" s="91"/>
      <c r="AF318" s="91"/>
      <c r="AG318" s="91"/>
      <c r="AH318" s="91"/>
      <c r="AI318" s="91"/>
      <c r="AJ318" s="91"/>
      <c r="AK318" s="91"/>
      <c r="AL318" s="91"/>
      <c r="AM318" s="91"/>
      <c r="AN318" s="91"/>
      <c r="AO318" s="91"/>
      <c r="AP318" s="91"/>
      <c r="AQ318" s="91"/>
    </row>
    <row r="319" spans="2:43" ht="14.7" hidden="1" customHeight="1" outlineLevel="1" x14ac:dyDescent="0.3">
      <c r="B319" s="425">
        <f t="shared" si="6"/>
        <v>46</v>
      </c>
      <c r="C319" s="95" t="s">
        <v>456</v>
      </c>
      <c r="D319" s="474"/>
      <c r="E319" s="474"/>
      <c r="F319" s="91"/>
      <c r="G319" s="91"/>
      <c r="H319" s="91"/>
      <c r="I319" s="91"/>
      <c r="J319" s="91"/>
      <c r="K319" s="91"/>
      <c r="L319" s="91"/>
      <c r="M319" s="91"/>
      <c r="N319" s="91"/>
      <c r="O319" s="91"/>
      <c r="P319" s="91"/>
      <c r="Q319" s="91"/>
      <c r="R319" s="91"/>
      <c r="S319" s="91"/>
      <c r="T319" s="91"/>
      <c r="U319" s="91"/>
      <c r="V319" s="91"/>
      <c r="W319" s="91"/>
      <c r="X319" s="474"/>
      <c r="Y319" s="474"/>
      <c r="Z319" s="91"/>
      <c r="AA319" s="91"/>
      <c r="AB319" s="91"/>
      <c r="AC319" s="91"/>
      <c r="AD319" s="91"/>
      <c r="AE319" s="91"/>
      <c r="AF319" s="91"/>
      <c r="AG319" s="91"/>
      <c r="AH319" s="91"/>
      <c r="AI319" s="91"/>
      <c r="AJ319" s="91"/>
      <c r="AK319" s="91"/>
      <c r="AL319" s="91"/>
      <c r="AM319" s="91"/>
      <c r="AN319" s="91"/>
      <c r="AO319" s="91"/>
      <c r="AP319" s="91"/>
      <c r="AQ319" s="91"/>
    </row>
    <row r="320" spans="2:43" ht="14.7" hidden="1" customHeight="1" outlineLevel="1" x14ac:dyDescent="0.3">
      <c r="B320" s="425">
        <f t="shared" si="6"/>
        <v>47</v>
      </c>
      <c r="C320" s="95" t="s">
        <v>456</v>
      </c>
      <c r="D320" s="474"/>
      <c r="E320" s="474"/>
      <c r="F320" s="91"/>
      <c r="G320" s="91"/>
      <c r="H320" s="91"/>
      <c r="I320" s="91"/>
      <c r="J320" s="91"/>
      <c r="K320" s="91"/>
      <c r="L320" s="91"/>
      <c r="M320" s="91"/>
      <c r="N320" s="91"/>
      <c r="O320" s="91"/>
      <c r="P320" s="91"/>
      <c r="Q320" s="91"/>
      <c r="R320" s="91"/>
      <c r="S320" s="91"/>
      <c r="T320" s="91"/>
      <c r="U320" s="91"/>
      <c r="V320" s="91"/>
      <c r="W320" s="91"/>
      <c r="X320" s="474"/>
      <c r="Y320" s="474"/>
      <c r="Z320" s="91"/>
      <c r="AA320" s="91"/>
      <c r="AB320" s="91"/>
      <c r="AC320" s="91"/>
      <c r="AD320" s="91"/>
      <c r="AE320" s="91"/>
      <c r="AF320" s="91"/>
      <c r="AG320" s="91"/>
      <c r="AH320" s="91"/>
      <c r="AI320" s="91"/>
      <c r="AJ320" s="91"/>
      <c r="AK320" s="91"/>
      <c r="AL320" s="91"/>
      <c r="AM320" s="91"/>
      <c r="AN320" s="91"/>
      <c r="AO320" s="91"/>
      <c r="AP320" s="91"/>
      <c r="AQ320" s="91"/>
    </row>
    <row r="321" spans="2:43" ht="14.7" hidden="1" customHeight="1" outlineLevel="1" x14ac:dyDescent="0.3">
      <c r="B321" s="425">
        <f t="shared" si="6"/>
        <v>48</v>
      </c>
      <c r="C321" s="95" t="s">
        <v>456</v>
      </c>
      <c r="D321" s="474"/>
      <c r="E321" s="474"/>
      <c r="F321" s="91"/>
      <c r="G321" s="91"/>
      <c r="H321" s="91"/>
      <c r="I321" s="91"/>
      <c r="J321" s="91"/>
      <c r="K321" s="91"/>
      <c r="L321" s="91"/>
      <c r="M321" s="91"/>
      <c r="N321" s="91"/>
      <c r="O321" s="91"/>
      <c r="P321" s="91"/>
      <c r="Q321" s="91"/>
      <c r="R321" s="91"/>
      <c r="S321" s="91"/>
      <c r="T321" s="91"/>
      <c r="U321" s="91"/>
      <c r="V321" s="91"/>
      <c r="W321" s="91"/>
      <c r="X321" s="474"/>
      <c r="Y321" s="474"/>
      <c r="Z321" s="91"/>
      <c r="AA321" s="91"/>
      <c r="AB321" s="91"/>
      <c r="AC321" s="91"/>
      <c r="AD321" s="91"/>
      <c r="AE321" s="91"/>
      <c r="AF321" s="91"/>
      <c r="AG321" s="91"/>
      <c r="AH321" s="91"/>
      <c r="AI321" s="91"/>
      <c r="AJ321" s="91"/>
      <c r="AK321" s="91"/>
      <c r="AL321" s="91"/>
      <c r="AM321" s="91"/>
      <c r="AN321" s="91"/>
      <c r="AO321" s="91"/>
      <c r="AP321" s="91"/>
      <c r="AQ321" s="91"/>
    </row>
    <row r="322" spans="2:43" ht="14.7" hidden="1" customHeight="1" outlineLevel="1" x14ac:dyDescent="0.3">
      <c r="B322" s="425">
        <f t="shared" si="6"/>
        <v>49</v>
      </c>
      <c r="C322" s="95" t="s">
        <v>456</v>
      </c>
      <c r="D322" s="474"/>
      <c r="E322" s="474"/>
      <c r="F322" s="91"/>
      <c r="G322" s="91"/>
      <c r="H322" s="91"/>
      <c r="I322" s="91"/>
      <c r="J322" s="91"/>
      <c r="K322" s="91"/>
      <c r="L322" s="91"/>
      <c r="M322" s="91"/>
      <c r="N322" s="91"/>
      <c r="O322" s="91"/>
      <c r="P322" s="91"/>
      <c r="Q322" s="91"/>
      <c r="R322" s="91"/>
      <c r="S322" s="91"/>
      <c r="T322" s="91"/>
      <c r="U322" s="91"/>
      <c r="V322" s="91"/>
      <c r="W322" s="91"/>
      <c r="X322" s="474"/>
      <c r="Y322" s="474"/>
      <c r="Z322" s="91"/>
      <c r="AA322" s="91"/>
      <c r="AB322" s="91"/>
      <c r="AC322" s="91"/>
      <c r="AD322" s="91"/>
      <c r="AE322" s="91"/>
      <c r="AF322" s="91"/>
      <c r="AG322" s="91"/>
      <c r="AH322" s="91"/>
      <c r="AI322" s="91"/>
      <c r="AJ322" s="91"/>
      <c r="AK322" s="91"/>
      <c r="AL322" s="91"/>
      <c r="AM322" s="91"/>
      <c r="AN322" s="91"/>
      <c r="AO322" s="91"/>
      <c r="AP322" s="91"/>
      <c r="AQ322" s="91"/>
    </row>
    <row r="323" spans="2:43" ht="14.7" hidden="1" customHeight="1" outlineLevel="1" x14ac:dyDescent="0.3">
      <c r="B323" s="425">
        <f t="shared" si="6"/>
        <v>50</v>
      </c>
      <c r="C323" s="95" t="s">
        <v>456</v>
      </c>
      <c r="D323" s="474"/>
      <c r="E323" s="474"/>
      <c r="F323" s="91"/>
      <c r="G323" s="91"/>
      <c r="H323" s="91"/>
      <c r="I323" s="91"/>
      <c r="J323" s="91"/>
      <c r="K323" s="91"/>
      <c r="L323" s="91"/>
      <c r="M323" s="91"/>
      <c r="N323" s="91"/>
      <c r="O323" s="91"/>
      <c r="P323" s="91"/>
      <c r="Q323" s="91"/>
      <c r="R323" s="91"/>
      <c r="S323" s="91"/>
      <c r="T323" s="91"/>
      <c r="U323" s="91"/>
      <c r="V323" s="91"/>
      <c r="W323" s="91"/>
      <c r="X323" s="474"/>
      <c r="Y323" s="474"/>
      <c r="Z323" s="91"/>
      <c r="AA323" s="91"/>
      <c r="AB323" s="91"/>
      <c r="AC323" s="91"/>
      <c r="AD323" s="91"/>
      <c r="AE323" s="91"/>
      <c r="AF323" s="91"/>
      <c r="AG323" s="91"/>
      <c r="AH323" s="91"/>
      <c r="AI323" s="91"/>
      <c r="AJ323" s="91"/>
      <c r="AK323" s="91"/>
      <c r="AL323" s="91"/>
      <c r="AM323" s="91"/>
      <c r="AN323" s="91"/>
      <c r="AO323" s="91"/>
      <c r="AP323" s="91"/>
      <c r="AQ323" s="91"/>
    </row>
    <row r="324" spans="2:43" ht="14.7" hidden="1" customHeight="1" outlineLevel="1" x14ac:dyDescent="0.3">
      <c r="B324" s="425">
        <f t="shared" si="6"/>
        <v>51</v>
      </c>
      <c r="C324" s="95" t="s">
        <v>456</v>
      </c>
      <c r="D324" s="474"/>
      <c r="E324" s="474"/>
      <c r="F324" s="91"/>
      <c r="G324" s="91"/>
      <c r="H324" s="91"/>
      <c r="I324" s="91"/>
      <c r="J324" s="91"/>
      <c r="K324" s="91"/>
      <c r="L324" s="91"/>
      <c r="M324" s="91"/>
      <c r="N324" s="91"/>
      <c r="O324" s="91"/>
      <c r="P324" s="91"/>
      <c r="Q324" s="91"/>
      <c r="R324" s="91"/>
      <c r="S324" s="91"/>
      <c r="T324" s="91"/>
      <c r="U324" s="91"/>
      <c r="V324" s="91"/>
      <c r="W324" s="91"/>
      <c r="X324" s="474"/>
      <c r="Y324" s="474"/>
      <c r="Z324" s="91"/>
      <c r="AA324" s="91"/>
      <c r="AB324" s="91"/>
      <c r="AC324" s="91"/>
      <c r="AD324" s="91"/>
      <c r="AE324" s="91"/>
      <c r="AF324" s="91"/>
      <c r="AG324" s="91"/>
      <c r="AH324" s="91"/>
      <c r="AI324" s="91"/>
      <c r="AJ324" s="91"/>
      <c r="AK324" s="91"/>
      <c r="AL324" s="91"/>
      <c r="AM324" s="91"/>
      <c r="AN324" s="91"/>
      <c r="AO324" s="91"/>
      <c r="AP324" s="91"/>
      <c r="AQ324" s="91"/>
    </row>
    <row r="325" spans="2:43" ht="14.7" hidden="1" customHeight="1" outlineLevel="1" x14ac:dyDescent="0.3">
      <c r="B325" s="425">
        <f t="shared" si="6"/>
        <v>52</v>
      </c>
      <c r="C325" s="95" t="s">
        <v>456</v>
      </c>
      <c r="D325" s="474"/>
      <c r="E325" s="474"/>
      <c r="F325" s="91"/>
      <c r="G325" s="91"/>
      <c r="H325" s="91"/>
      <c r="I325" s="91"/>
      <c r="J325" s="91"/>
      <c r="K325" s="91"/>
      <c r="L325" s="91"/>
      <c r="M325" s="91"/>
      <c r="N325" s="91"/>
      <c r="O325" s="91"/>
      <c r="P325" s="91"/>
      <c r="Q325" s="91"/>
      <c r="R325" s="91"/>
      <c r="S325" s="91"/>
      <c r="T325" s="91"/>
      <c r="U325" s="91"/>
      <c r="V325" s="91"/>
      <c r="W325" s="91"/>
      <c r="X325" s="474"/>
      <c r="Y325" s="474"/>
      <c r="Z325" s="91"/>
      <c r="AA325" s="91"/>
      <c r="AB325" s="91"/>
      <c r="AC325" s="91"/>
      <c r="AD325" s="91"/>
      <c r="AE325" s="91"/>
      <c r="AF325" s="91"/>
      <c r="AG325" s="91"/>
      <c r="AH325" s="91"/>
      <c r="AI325" s="91"/>
      <c r="AJ325" s="91"/>
      <c r="AK325" s="91"/>
      <c r="AL325" s="91"/>
      <c r="AM325" s="91"/>
      <c r="AN325" s="91"/>
      <c r="AO325" s="91"/>
      <c r="AP325" s="91"/>
      <c r="AQ325" s="91"/>
    </row>
    <row r="326" spans="2:43" ht="14.7" hidden="1" customHeight="1" outlineLevel="1" x14ac:dyDescent="0.3">
      <c r="B326" s="425">
        <f t="shared" si="6"/>
        <v>53</v>
      </c>
      <c r="C326" s="95" t="s">
        <v>456</v>
      </c>
      <c r="D326" s="474"/>
      <c r="E326" s="474"/>
      <c r="F326" s="91"/>
      <c r="G326" s="91"/>
      <c r="H326" s="91"/>
      <c r="I326" s="91"/>
      <c r="J326" s="91"/>
      <c r="K326" s="91"/>
      <c r="L326" s="91"/>
      <c r="M326" s="91"/>
      <c r="N326" s="91"/>
      <c r="O326" s="91"/>
      <c r="P326" s="91"/>
      <c r="Q326" s="91"/>
      <c r="R326" s="91"/>
      <c r="S326" s="91"/>
      <c r="T326" s="91"/>
      <c r="U326" s="91"/>
      <c r="V326" s="91"/>
      <c r="W326" s="91"/>
      <c r="X326" s="474"/>
      <c r="Y326" s="474"/>
      <c r="Z326" s="91"/>
      <c r="AA326" s="91"/>
      <c r="AB326" s="91"/>
      <c r="AC326" s="91"/>
      <c r="AD326" s="91"/>
      <c r="AE326" s="91"/>
      <c r="AF326" s="91"/>
      <c r="AG326" s="91"/>
      <c r="AH326" s="91"/>
      <c r="AI326" s="91"/>
      <c r="AJ326" s="91"/>
      <c r="AK326" s="91"/>
      <c r="AL326" s="91"/>
      <c r="AM326" s="91"/>
      <c r="AN326" s="91"/>
      <c r="AO326" s="91"/>
      <c r="AP326" s="91"/>
      <c r="AQ326" s="91"/>
    </row>
    <row r="327" spans="2:43" ht="14.7" hidden="1" customHeight="1" outlineLevel="1" x14ac:dyDescent="0.3">
      <c r="B327" s="425">
        <f t="shared" si="6"/>
        <v>54</v>
      </c>
      <c r="C327" s="95" t="s">
        <v>456</v>
      </c>
      <c r="D327" s="474"/>
      <c r="E327" s="474"/>
      <c r="F327" s="91"/>
      <c r="G327" s="91"/>
      <c r="H327" s="91"/>
      <c r="I327" s="91"/>
      <c r="J327" s="91"/>
      <c r="K327" s="91"/>
      <c r="L327" s="91"/>
      <c r="M327" s="91"/>
      <c r="N327" s="91"/>
      <c r="O327" s="91"/>
      <c r="P327" s="91"/>
      <c r="Q327" s="91"/>
      <c r="R327" s="91"/>
      <c r="S327" s="91"/>
      <c r="T327" s="91"/>
      <c r="U327" s="91"/>
      <c r="V327" s="91"/>
      <c r="W327" s="91"/>
      <c r="X327" s="474"/>
      <c r="Y327" s="474"/>
      <c r="Z327" s="91"/>
      <c r="AA327" s="91"/>
      <c r="AB327" s="91"/>
      <c r="AC327" s="91"/>
      <c r="AD327" s="91"/>
      <c r="AE327" s="91"/>
      <c r="AF327" s="91"/>
      <c r="AG327" s="91"/>
      <c r="AH327" s="91"/>
      <c r="AI327" s="91"/>
      <c r="AJ327" s="91"/>
      <c r="AK327" s="91"/>
      <c r="AL327" s="91"/>
      <c r="AM327" s="91"/>
      <c r="AN327" s="91"/>
      <c r="AO327" s="91"/>
      <c r="AP327" s="91"/>
      <c r="AQ327" s="91"/>
    </row>
    <row r="328" spans="2:43" ht="14.7" hidden="1" customHeight="1" outlineLevel="1" x14ac:dyDescent="0.3">
      <c r="B328" s="425">
        <f t="shared" si="6"/>
        <v>55</v>
      </c>
      <c r="C328" s="95" t="s">
        <v>456</v>
      </c>
      <c r="D328" s="474"/>
      <c r="E328" s="474"/>
      <c r="F328" s="91"/>
      <c r="G328" s="91"/>
      <c r="H328" s="91"/>
      <c r="I328" s="91"/>
      <c r="J328" s="91"/>
      <c r="K328" s="91"/>
      <c r="L328" s="91"/>
      <c r="M328" s="91"/>
      <c r="N328" s="91"/>
      <c r="O328" s="91"/>
      <c r="P328" s="91"/>
      <c r="Q328" s="91"/>
      <c r="R328" s="91"/>
      <c r="S328" s="91"/>
      <c r="T328" s="91"/>
      <c r="U328" s="91"/>
      <c r="V328" s="91"/>
      <c r="W328" s="91"/>
      <c r="X328" s="474"/>
      <c r="Y328" s="474"/>
      <c r="Z328" s="91"/>
      <c r="AA328" s="91"/>
      <c r="AB328" s="91"/>
      <c r="AC328" s="91"/>
      <c r="AD328" s="91"/>
      <c r="AE328" s="91"/>
      <c r="AF328" s="91"/>
      <c r="AG328" s="91"/>
      <c r="AH328" s="91"/>
      <c r="AI328" s="91"/>
      <c r="AJ328" s="91"/>
      <c r="AK328" s="91"/>
      <c r="AL328" s="91"/>
      <c r="AM328" s="91"/>
      <c r="AN328" s="91"/>
      <c r="AO328" s="91"/>
      <c r="AP328" s="91"/>
      <c r="AQ328" s="91"/>
    </row>
    <row r="329" spans="2:43" ht="14.7" hidden="1" customHeight="1" outlineLevel="1" x14ac:dyDescent="0.3">
      <c r="B329" s="425">
        <f t="shared" si="6"/>
        <v>56</v>
      </c>
      <c r="C329" s="95" t="s">
        <v>456</v>
      </c>
      <c r="D329" s="474"/>
      <c r="E329" s="474"/>
      <c r="F329" s="91"/>
      <c r="G329" s="91"/>
      <c r="H329" s="91"/>
      <c r="I329" s="91"/>
      <c r="J329" s="91"/>
      <c r="K329" s="91"/>
      <c r="L329" s="91"/>
      <c r="M329" s="91"/>
      <c r="N329" s="91"/>
      <c r="O329" s="91"/>
      <c r="P329" s="91"/>
      <c r="Q329" s="91"/>
      <c r="R329" s="91"/>
      <c r="S329" s="91"/>
      <c r="T329" s="91"/>
      <c r="U329" s="91"/>
      <c r="V329" s="91"/>
      <c r="W329" s="91"/>
      <c r="X329" s="474"/>
      <c r="Y329" s="474"/>
      <c r="Z329" s="91"/>
      <c r="AA329" s="91"/>
      <c r="AB329" s="91"/>
      <c r="AC329" s="91"/>
      <c r="AD329" s="91"/>
      <c r="AE329" s="91"/>
      <c r="AF329" s="91"/>
      <c r="AG329" s="91"/>
      <c r="AH329" s="91"/>
      <c r="AI329" s="91"/>
      <c r="AJ329" s="91"/>
      <c r="AK329" s="91"/>
      <c r="AL329" s="91"/>
      <c r="AM329" s="91"/>
      <c r="AN329" s="91"/>
      <c r="AO329" s="91"/>
      <c r="AP329" s="91"/>
      <c r="AQ329" s="91"/>
    </row>
    <row r="330" spans="2:43" ht="14.7" hidden="1" customHeight="1" outlineLevel="1" x14ac:dyDescent="0.3">
      <c r="B330" s="425">
        <f t="shared" si="6"/>
        <v>57</v>
      </c>
      <c r="C330" s="95" t="s">
        <v>456</v>
      </c>
      <c r="D330" s="474"/>
      <c r="E330" s="474"/>
      <c r="F330" s="91"/>
      <c r="G330" s="91"/>
      <c r="H330" s="91"/>
      <c r="I330" s="91"/>
      <c r="J330" s="91"/>
      <c r="K330" s="91"/>
      <c r="L330" s="91"/>
      <c r="M330" s="91"/>
      <c r="N330" s="91"/>
      <c r="O330" s="91"/>
      <c r="P330" s="91"/>
      <c r="Q330" s="91"/>
      <c r="R330" s="91"/>
      <c r="S330" s="91"/>
      <c r="T330" s="91"/>
      <c r="U330" s="91"/>
      <c r="V330" s="91"/>
      <c r="W330" s="91"/>
      <c r="X330" s="474"/>
      <c r="Y330" s="474"/>
      <c r="Z330" s="91"/>
      <c r="AA330" s="91"/>
      <c r="AB330" s="91"/>
      <c r="AC330" s="91"/>
      <c r="AD330" s="91"/>
      <c r="AE330" s="91"/>
      <c r="AF330" s="91"/>
      <c r="AG330" s="91"/>
      <c r="AH330" s="91"/>
      <c r="AI330" s="91"/>
      <c r="AJ330" s="91"/>
      <c r="AK330" s="91"/>
      <c r="AL330" s="91"/>
      <c r="AM330" s="91"/>
      <c r="AN330" s="91"/>
      <c r="AO330" s="91"/>
      <c r="AP330" s="91"/>
      <c r="AQ330" s="91"/>
    </row>
    <row r="331" spans="2:43" ht="14.7" hidden="1" customHeight="1" outlineLevel="1" x14ac:dyDescent="0.3">
      <c r="B331" s="425">
        <f t="shared" si="6"/>
        <v>58</v>
      </c>
      <c r="C331" s="95" t="s">
        <v>456</v>
      </c>
      <c r="D331" s="474"/>
      <c r="E331" s="474"/>
      <c r="F331" s="91"/>
      <c r="G331" s="91"/>
      <c r="H331" s="91"/>
      <c r="I331" s="91"/>
      <c r="J331" s="91"/>
      <c r="K331" s="91"/>
      <c r="L331" s="91"/>
      <c r="M331" s="91"/>
      <c r="N331" s="91"/>
      <c r="O331" s="91"/>
      <c r="P331" s="91"/>
      <c r="Q331" s="91"/>
      <c r="R331" s="91"/>
      <c r="S331" s="91"/>
      <c r="T331" s="91"/>
      <c r="U331" s="91"/>
      <c r="V331" s="91"/>
      <c r="W331" s="91"/>
      <c r="X331" s="474"/>
      <c r="Y331" s="474"/>
      <c r="Z331" s="91"/>
      <c r="AA331" s="91"/>
      <c r="AB331" s="91"/>
      <c r="AC331" s="91"/>
      <c r="AD331" s="91"/>
      <c r="AE331" s="91"/>
      <c r="AF331" s="91"/>
      <c r="AG331" s="91"/>
      <c r="AH331" s="91"/>
      <c r="AI331" s="91"/>
      <c r="AJ331" s="91"/>
      <c r="AK331" s="91"/>
      <c r="AL331" s="91"/>
      <c r="AM331" s="91"/>
      <c r="AN331" s="91"/>
      <c r="AO331" s="91"/>
      <c r="AP331" s="91"/>
      <c r="AQ331" s="91"/>
    </row>
    <row r="332" spans="2:43" ht="14.7" hidden="1" customHeight="1" outlineLevel="1" x14ac:dyDescent="0.3">
      <c r="B332" s="425">
        <f t="shared" si="6"/>
        <v>59</v>
      </c>
      <c r="C332" s="95" t="s">
        <v>456</v>
      </c>
      <c r="D332" s="474"/>
      <c r="E332" s="474"/>
      <c r="F332" s="91"/>
      <c r="G332" s="91"/>
      <c r="H332" s="91"/>
      <c r="I332" s="91"/>
      <c r="J332" s="91"/>
      <c r="K332" s="91"/>
      <c r="L332" s="91"/>
      <c r="M332" s="91"/>
      <c r="N332" s="91"/>
      <c r="O332" s="91"/>
      <c r="P332" s="91"/>
      <c r="Q332" s="91"/>
      <c r="R332" s="91"/>
      <c r="S332" s="91"/>
      <c r="T332" s="91"/>
      <c r="U332" s="91"/>
      <c r="V332" s="91"/>
      <c r="W332" s="91"/>
      <c r="X332" s="474"/>
      <c r="Y332" s="474"/>
      <c r="Z332" s="91"/>
      <c r="AA332" s="91"/>
      <c r="AB332" s="91"/>
      <c r="AC332" s="91"/>
      <c r="AD332" s="91"/>
      <c r="AE332" s="91"/>
      <c r="AF332" s="91"/>
      <c r="AG332" s="91"/>
      <c r="AH332" s="91"/>
      <c r="AI332" s="91"/>
      <c r="AJ332" s="91"/>
      <c r="AK332" s="91"/>
      <c r="AL332" s="91"/>
      <c r="AM332" s="91"/>
      <c r="AN332" s="91"/>
      <c r="AO332" s="91"/>
      <c r="AP332" s="91"/>
      <c r="AQ332" s="91"/>
    </row>
    <row r="333" spans="2:43" ht="14.7" hidden="1" customHeight="1" outlineLevel="1" x14ac:dyDescent="0.3">
      <c r="B333" s="425">
        <f t="shared" si="6"/>
        <v>60</v>
      </c>
      <c r="C333" s="95" t="s">
        <v>456</v>
      </c>
      <c r="D333" s="474"/>
      <c r="E333" s="474"/>
      <c r="F333" s="91"/>
      <c r="G333" s="91"/>
      <c r="H333" s="91"/>
      <c r="I333" s="91"/>
      <c r="J333" s="91"/>
      <c r="K333" s="91"/>
      <c r="L333" s="91"/>
      <c r="M333" s="91"/>
      <c r="N333" s="91"/>
      <c r="O333" s="91"/>
      <c r="P333" s="91"/>
      <c r="Q333" s="91"/>
      <c r="R333" s="91"/>
      <c r="S333" s="91"/>
      <c r="T333" s="91"/>
      <c r="U333" s="91"/>
      <c r="V333" s="91"/>
      <c r="W333" s="91"/>
      <c r="X333" s="474"/>
      <c r="Y333" s="474"/>
      <c r="Z333" s="91"/>
      <c r="AA333" s="91"/>
      <c r="AB333" s="91"/>
      <c r="AC333" s="91"/>
      <c r="AD333" s="91"/>
      <c r="AE333" s="91"/>
      <c r="AF333" s="91"/>
      <c r="AG333" s="91"/>
      <c r="AH333" s="91"/>
      <c r="AI333" s="91"/>
      <c r="AJ333" s="91"/>
      <c r="AK333" s="91"/>
      <c r="AL333" s="91"/>
      <c r="AM333" s="91"/>
      <c r="AN333" s="91"/>
      <c r="AO333" s="91"/>
      <c r="AP333" s="91"/>
      <c r="AQ333" s="91"/>
    </row>
    <row r="334" spans="2:43" ht="14.7" hidden="1" customHeight="1" outlineLevel="1" x14ac:dyDescent="0.3">
      <c r="B334" s="425">
        <f t="shared" si="6"/>
        <v>61</v>
      </c>
      <c r="C334" s="95" t="s">
        <v>456</v>
      </c>
      <c r="D334" s="474"/>
      <c r="E334" s="474"/>
      <c r="F334" s="91"/>
      <c r="G334" s="91"/>
      <c r="H334" s="91"/>
      <c r="I334" s="91"/>
      <c r="J334" s="91"/>
      <c r="K334" s="91"/>
      <c r="L334" s="91"/>
      <c r="M334" s="91"/>
      <c r="N334" s="91"/>
      <c r="O334" s="91"/>
      <c r="P334" s="91"/>
      <c r="Q334" s="91"/>
      <c r="R334" s="91"/>
      <c r="S334" s="91"/>
      <c r="T334" s="91"/>
      <c r="U334" s="91"/>
      <c r="V334" s="91"/>
      <c r="W334" s="91"/>
      <c r="X334" s="474"/>
      <c r="Y334" s="474"/>
      <c r="Z334" s="91"/>
      <c r="AA334" s="91"/>
      <c r="AB334" s="91"/>
      <c r="AC334" s="91"/>
      <c r="AD334" s="91"/>
      <c r="AE334" s="91"/>
      <c r="AF334" s="91"/>
      <c r="AG334" s="91"/>
      <c r="AH334" s="91"/>
      <c r="AI334" s="91"/>
      <c r="AJ334" s="91"/>
      <c r="AK334" s="91"/>
      <c r="AL334" s="91"/>
      <c r="AM334" s="91"/>
      <c r="AN334" s="91"/>
      <c r="AO334" s="91"/>
      <c r="AP334" s="91"/>
      <c r="AQ334" s="91"/>
    </row>
    <row r="335" spans="2:43" ht="14.7" hidden="1" customHeight="1" outlineLevel="1" x14ac:dyDescent="0.3">
      <c r="B335" s="425">
        <f t="shared" si="6"/>
        <v>62</v>
      </c>
      <c r="C335" s="95" t="s">
        <v>456</v>
      </c>
      <c r="D335" s="474"/>
      <c r="E335" s="474"/>
      <c r="F335" s="91"/>
      <c r="G335" s="91"/>
      <c r="H335" s="91"/>
      <c r="I335" s="91"/>
      <c r="J335" s="91"/>
      <c r="K335" s="91"/>
      <c r="L335" s="91"/>
      <c r="M335" s="91"/>
      <c r="N335" s="91"/>
      <c r="O335" s="91"/>
      <c r="P335" s="91"/>
      <c r="Q335" s="91"/>
      <c r="R335" s="91"/>
      <c r="S335" s="91"/>
      <c r="T335" s="91"/>
      <c r="U335" s="91"/>
      <c r="V335" s="91"/>
      <c r="W335" s="91"/>
      <c r="X335" s="474"/>
      <c r="Y335" s="474"/>
      <c r="Z335" s="91"/>
      <c r="AA335" s="91"/>
      <c r="AB335" s="91"/>
      <c r="AC335" s="91"/>
      <c r="AD335" s="91"/>
      <c r="AE335" s="91"/>
      <c r="AF335" s="91"/>
      <c r="AG335" s="91"/>
      <c r="AH335" s="91"/>
      <c r="AI335" s="91"/>
      <c r="AJ335" s="91"/>
      <c r="AK335" s="91"/>
      <c r="AL335" s="91"/>
      <c r="AM335" s="91"/>
      <c r="AN335" s="91"/>
      <c r="AO335" s="91"/>
      <c r="AP335" s="91"/>
      <c r="AQ335" s="91"/>
    </row>
    <row r="336" spans="2:43" ht="14.7" hidden="1" customHeight="1" outlineLevel="1" x14ac:dyDescent="0.3">
      <c r="B336" s="425">
        <f t="shared" si="6"/>
        <v>63</v>
      </c>
      <c r="C336" s="95" t="s">
        <v>456</v>
      </c>
      <c r="D336" s="474"/>
      <c r="E336" s="474"/>
      <c r="F336" s="91"/>
      <c r="G336" s="91"/>
      <c r="H336" s="91"/>
      <c r="I336" s="91"/>
      <c r="J336" s="91"/>
      <c r="K336" s="91"/>
      <c r="L336" s="91"/>
      <c r="M336" s="91"/>
      <c r="N336" s="91"/>
      <c r="O336" s="91"/>
      <c r="P336" s="91"/>
      <c r="Q336" s="91"/>
      <c r="R336" s="91"/>
      <c r="S336" s="91"/>
      <c r="T336" s="91"/>
      <c r="U336" s="91"/>
      <c r="V336" s="91"/>
      <c r="W336" s="91"/>
      <c r="X336" s="474"/>
      <c r="Y336" s="474"/>
      <c r="Z336" s="91"/>
      <c r="AA336" s="91"/>
      <c r="AB336" s="91"/>
      <c r="AC336" s="91"/>
      <c r="AD336" s="91"/>
      <c r="AE336" s="91"/>
      <c r="AF336" s="91"/>
      <c r="AG336" s="91"/>
      <c r="AH336" s="91"/>
      <c r="AI336" s="91"/>
      <c r="AJ336" s="91"/>
      <c r="AK336" s="91"/>
      <c r="AL336" s="91"/>
      <c r="AM336" s="91"/>
      <c r="AN336" s="91"/>
      <c r="AO336" s="91"/>
      <c r="AP336" s="91"/>
      <c r="AQ336" s="91"/>
    </row>
    <row r="337" spans="2:43" ht="14.7" hidden="1" customHeight="1" outlineLevel="1" x14ac:dyDescent="0.3">
      <c r="B337" s="425">
        <f t="shared" si="6"/>
        <v>64</v>
      </c>
      <c r="C337" s="95" t="s">
        <v>456</v>
      </c>
      <c r="D337" s="474"/>
      <c r="E337" s="474"/>
      <c r="F337" s="91"/>
      <c r="G337" s="91"/>
      <c r="H337" s="91"/>
      <c r="I337" s="91"/>
      <c r="J337" s="91"/>
      <c r="K337" s="91"/>
      <c r="L337" s="91"/>
      <c r="M337" s="91"/>
      <c r="N337" s="91"/>
      <c r="O337" s="91"/>
      <c r="P337" s="91"/>
      <c r="Q337" s="91"/>
      <c r="R337" s="91"/>
      <c r="S337" s="91"/>
      <c r="T337" s="91"/>
      <c r="U337" s="91"/>
      <c r="V337" s="91"/>
      <c r="W337" s="91"/>
      <c r="X337" s="474"/>
      <c r="Y337" s="474"/>
      <c r="Z337" s="91"/>
      <c r="AA337" s="91"/>
      <c r="AB337" s="91"/>
      <c r="AC337" s="91"/>
      <c r="AD337" s="91"/>
      <c r="AE337" s="91"/>
      <c r="AF337" s="91"/>
      <c r="AG337" s="91"/>
      <c r="AH337" s="91"/>
      <c r="AI337" s="91"/>
      <c r="AJ337" s="91"/>
      <c r="AK337" s="91"/>
      <c r="AL337" s="91"/>
      <c r="AM337" s="91"/>
      <c r="AN337" s="91"/>
      <c r="AO337" s="91"/>
      <c r="AP337" s="91"/>
      <c r="AQ337" s="91"/>
    </row>
    <row r="338" spans="2:43" ht="14.7" hidden="1" customHeight="1" outlineLevel="1" x14ac:dyDescent="0.3">
      <c r="B338" s="425">
        <f t="shared" si="6"/>
        <v>65</v>
      </c>
      <c r="C338" s="95" t="s">
        <v>456</v>
      </c>
      <c r="D338" s="474"/>
      <c r="E338" s="474"/>
      <c r="F338" s="91"/>
      <c r="G338" s="91"/>
      <c r="H338" s="91"/>
      <c r="I338" s="91"/>
      <c r="J338" s="91"/>
      <c r="K338" s="91"/>
      <c r="L338" s="91"/>
      <c r="M338" s="91"/>
      <c r="N338" s="91"/>
      <c r="O338" s="91"/>
      <c r="P338" s="91"/>
      <c r="Q338" s="91"/>
      <c r="R338" s="91"/>
      <c r="S338" s="91"/>
      <c r="T338" s="91"/>
      <c r="U338" s="91"/>
      <c r="V338" s="91"/>
      <c r="W338" s="91"/>
      <c r="X338" s="474"/>
      <c r="Y338" s="474"/>
      <c r="Z338" s="91"/>
      <c r="AA338" s="91"/>
      <c r="AB338" s="91"/>
      <c r="AC338" s="91"/>
      <c r="AD338" s="91"/>
      <c r="AE338" s="91"/>
      <c r="AF338" s="91"/>
      <c r="AG338" s="91"/>
      <c r="AH338" s="91"/>
      <c r="AI338" s="91"/>
      <c r="AJ338" s="91"/>
      <c r="AK338" s="91"/>
      <c r="AL338" s="91"/>
      <c r="AM338" s="91"/>
      <c r="AN338" s="91"/>
      <c r="AO338" s="91"/>
      <c r="AP338" s="91"/>
      <c r="AQ338" s="91"/>
    </row>
    <row r="339" spans="2:43" ht="14.7" hidden="1" customHeight="1" outlineLevel="1" x14ac:dyDescent="0.3">
      <c r="B339" s="425">
        <f t="shared" si="6"/>
        <v>66</v>
      </c>
      <c r="C339" s="95" t="s">
        <v>456</v>
      </c>
      <c r="D339" s="474"/>
      <c r="E339" s="474"/>
      <c r="F339" s="91"/>
      <c r="G339" s="91"/>
      <c r="H339" s="91"/>
      <c r="I339" s="91"/>
      <c r="J339" s="91"/>
      <c r="K339" s="91"/>
      <c r="L339" s="91"/>
      <c r="M339" s="91"/>
      <c r="N339" s="91"/>
      <c r="O339" s="91"/>
      <c r="P339" s="91"/>
      <c r="Q339" s="91"/>
      <c r="R339" s="91"/>
      <c r="S339" s="91"/>
      <c r="T339" s="91"/>
      <c r="U339" s="91"/>
      <c r="V339" s="91"/>
      <c r="W339" s="91"/>
      <c r="X339" s="474"/>
      <c r="Y339" s="474"/>
      <c r="Z339" s="91"/>
      <c r="AA339" s="91"/>
      <c r="AB339" s="91"/>
      <c r="AC339" s="91"/>
      <c r="AD339" s="91"/>
      <c r="AE339" s="91"/>
      <c r="AF339" s="91"/>
      <c r="AG339" s="91"/>
      <c r="AH339" s="91"/>
      <c r="AI339" s="91"/>
      <c r="AJ339" s="91"/>
      <c r="AK339" s="91"/>
      <c r="AL339" s="91"/>
      <c r="AM339" s="91"/>
      <c r="AN339" s="91"/>
      <c r="AO339" s="91"/>
      <c r="AP339" s="91"/>
      <c r="AQ339" s="91"/>
    </row>
    <row r="340" spans="2:43" ht="14.7" hidden="1" customHeight="1" outlineLevel="1" x14ac:dyDescent="0.3">
      <c r="B340" s="425">
        <f t="shared" ref="B340:B353" si="7">1+B339</f>
        <v>67</v>
      </c>
      <c r="C340" s="95" t="s">
        <v>456</v>
      </c>
      <c r="D340" s="474"/>
      <c r="E340" s="474"/>
      <c r="F340" s="91"/>
      <c r="G340" s="91"/>
      <c r="H340" s="91"/>
      <c r="I340" s="91"/>
      <c r="J340" s="91"/>
      <c r="K340" s="91"/>
      <c r="L340" s="91"/>
      <c r="M340" s="91"/>
      <c r="N340" s="91"/>
      <c r="O340" s="91"/>
      <c r="P340" s="91"/>
      <c r="Q340" s="91"/>
      <c r="R340" s="91"/>
      <c r="S340" s="91"/>
      <c r="T340" s="91"/>
      <c r="U340" s="91"/>
      <c r="V340" s="91"/>
      <c r="W340" s="91"/>
      <c r="X340" s="474"/>
      <c r="Y340" s="474"/>
      <c r="Z340" s="91"/>
      <c r="AA340" s="91"/>
      <c r="AB340" s="91"/>
      <c r="AC340" s="91"/>
      <c r="AD340" s="91"/>
      <c r="AE340" s="91"/>
      <c r="AF340" s="91"/>
      <c r="AG340" s="91"/>
      <c r="AH340" s="91"/>
      <c r="AI340" s="91"/>
      <c r="AJ340" s="91"/>
      <c r="AK340" s="91"/>
      <c r="AL340" s="91"/>
      <c r="AM340" s="91"/>
      <c r="AN340" s="91"/>
      <c r="AO340" s="91"/>
      <c r="AP340" s="91"/>
      <c r="AQ340" s="91"/>
    </row>
    <row r="341" spans="2:43" ht="14.7" hidden="1" customHeight="1" outlineLevel="1" x14ac:dyDescent="0.3">
      <c r="B341" s="425">
        <f t="shared" si="7"/>
        <v>68</v>
      </c>
      <c r="C341" s="95" t="s">
        <v>456</v>
      </c>
      <c r="D341" s="474"/>
      <c r="E341" s="474"/>
      <c r="F341" s="91"/>
      <c r="G341" s="91"/>
      <c r="H341" s="91"/>
      <c r="I341" s="91"/>
      <c r="J341" s="91"/>
      <c r="K341" s="91"/>
      <c r="L341" s="91"/>
      <c r="M341" s="91"/>
      <c r="N341" s="91"/>
      <c r="O341" s="91"/>
      <c r="P341" s="91"/>
      <c r="Q341" s="91"/>
      <c r="R341" s="91"/>
      <c r="S341" s="91"/>
      <c r="T341" s="91"/>
      <c r="U341" s="91"/>
      <c r="V341" s="91"/>
      <c r="W341" s="91"/>
      <c r="X341" s="474"/>
      <c r="Y341" s="474"/>
      <c r="Z341" s="91"/>
      <c r="AA341" s="91"/>
      <c r="AB341" s="91"/>
      <c r="AC341" s="91"/>
      <c r="AD341" s="91"/>
      <c r="AE341" s="91"/>
      <c r="AF341" s="91"/>
      <c r="AG341" s="91"/>
      <c r="AH341" s="91"/>
      <c r="AI341" s="91"/>
      <c r="AJ341" s="91"/>
      <c r="AK341" s="91"/>
      <c r="AL341" s="91"/>
      <c r="AM341" s="91"/>
      <c r="AN341" s="91"/>
      <c r="AO341" s="91"/>
      <c r="AP341" s="91"/>
      <c r="AQ341" s="91"/>
    </row>
    <row r="342" spans="2:43" ht="14.7" hidden="1" customHeight="1" outlineLevel="1" x14ac:dyDescent="0.3">
      <c r="B342" s="425">
        <f t="shared" si="7"/>
        <v>69</v>
      </c>
      <c r="C342" s="95" t="s">
        <v>456</v>
      </c>
      <c r="D342" s="474"/>
      <c r="E342" s="474"/>
      <c r="F342" s="91"/>
      <c r="G342" s="91"/>
      <c r="H342" s="91"/>
      <c r="I342" s="91"/>
      <c r="J342" s="91"/>
      <c r="K342" s="91"/>
      <c r="L342" s="91"/>
      <c r="M342" s="91"/>
      <c r="N342" s="91"/>
      <c r="O342" s="91"/>
      <c r="P342" s="91"/>
      <c r="Q342" s="91"/>
      <c r="R342" s="91"/>
      <c r="S342" s="91"/>
      <c r="T342" s="91"/>
      <c r="U342" s="91"/>
      <c r="V342" s="91"/>
      <c r="W342" s="91"/>
      <c r="X342" s="474"/>
      <c r="Y342" s="474"/>
      <c r="Z342" s="91"/>
      <c r="AA342" s="91"/>
      <c r="AB342" s="91"/>
      <c r="AC342" s="91"/>
      <c r="AD342" s="91"/>
      <c r="AE342" s="91"/>
      <c r="AF342" s="91"/>
      <c r="AG342" s="91"/>
      <c r="AH342" s="91"/>
      <c r="AI342" s="91"/>
      <c r="AJ342" s="91"/>
      <c r="AK342" s="91"/>
      <c r="AL342" s="91"/>
      <c r="AM342" s="91"/>
      <c r="AN342" s="91"/>
      <c r="AO342" s="91"/>
      <c r="AP342" s="91"/>
      <c r="AQ342" s="91"/>
    </row>
    <row r="343" spans="2:43" ht="14.7" hidden="1" customHeight="1" outlineLevel="1" x14ac:dyDescent="0.3">
      <c r="B343" s="425">
        <f t="shared" si="7"/>
        <v>70</v>
      </c>
      <c r="C343" s="95" t="s">
        <v>456</v>
      </c>
      <c r="D343" s="474"/>
      <c r="E343" s="474"/>
      <c r="F343" s="91"/>
      <c r="G343" s="91"/>
      <c r="H343" s="91"/>
      <c r="I343" s="91"/>
      <c r="J343" s="91"/>
      <c r="K343" s="91"/>
      <c r="L343" s="91"/>
      <c r="M343" s="91"/>
      <c r="N343" s="91"/>
      <c r="O343" s="91"/>
      <c r="P343" s="91"/>
      <c r="Q343" s="91"/>
      <c r="R343" s="91"/>
      <c r="S343" s="91"/>
      <c r="T343" s="91"/>
      <c r="U343" s="91"/>
      <c r="V343" s="91"/>
      <c r="W343" s="91"/>
      <c r="X343" s="474"/>
      <c r="Y343" s="474"/>
      <c r="Z343" s="91"/>
      <c r="AA343" s="91"/>
      <c r="AB343" s="91"/>
      <c r="AC343" s="91"/>
      <c r="AD343" s="91"/>
      <c r="AE343" s="91"/>
      <c r="AF343" s="91"/>
      <c r="AG343" s="91"/>
      <c r="AH343" s="91"/>
      <c r="AI343" s="91"/>
      <c r="AJ343" s="91"/>
      <c r="AK343" s="91"/>
      <c r="AL343" s="91"/>
      <c r="AM343" s="91"/>
      <c r="AN343" s="91"/>
      <c r="AO343" s="91"/>
      <c r="AP343" s="91"/>
      <c r="AQ343" s="91"/>
    </row>
    <row r="344" spans="2:43" ht="14.7" hidden="1" customHeight="1" outlineLevel="1" x14ac:dyDescent="0.3">
      <c r="B344" s="425">
        <f t="shared" si="7"/>
        <v>71</v>
      </c>
      <c r="C344" s="95" t="s">
        <v>456</v>
      </c>
      <c r="D344" s="474"/>
      <c r="E344" s="474"/>
      <c r="F344" s="91"/>
      <c r="G344" s="91"/>
      <c r="H344" s="91"/>
      <c r="I344" s="91"/>
      <c r="J344" s="91"/>
      <c r="K344" s="91"/>
      <c r="L344" s="91"/>
      <c r="M344" s="91"/>
      <c r="N344" s="91"/>
      <c r="O344" s="91"/>
      <c r="P344" s="91"/>
      <c r="Q344" s="91"/>
      <c r="R344" s="91"/>
      <c r="S344" s="91"/>
      <c r="T344" s="91"/>
      <c r="U344" s="91"/>
      <c r="V344" s="91"/>
      <c r="W344" s="91"/>
      <c r="X344" s="474"/>
      <c r="Y344" s="474"/>
      <c r="Z344" s="91"/>
      <c r="AA344" s="91"/>
      <c r="AB344" s="91"/>
      <c r="AC344" s="91"/>
      <c r="AD344" s="91"/>
      <c r="AE344" s="91"/>
      <c r="AF344" s="91"/>
      <c r="AG344" s="91"/>
      <c r="AH344" s="91"/>
      <c r="AI344" s="91"/>
      <c r="AJ344" s="91"/>
      <c r="AK344" s="91"/>
      <c r="AL344" s="91"/>
      <c r="AM344" s="91"/>
      <c r="AN344" s="91"/>
      <c r="AO344" s="91"/>
      <c r="AP344" s="91"/>
      <c r="AQ344" s="91"/>
    </row>
    <row r="345" spans="2:43" ht="14.7" hidden="1" customHeight="1" outlineLevel="1" x14ac:dyDescent="0.3">
      <c r="B345" s="425">
        <f t="shared" si="7"/>
        <v>72</v>
      </c>
      <c r="C345" s="95" t="s">
        <v>456</v>
      </c>
      <c r="D345" s="474"/>
      <c r="E345" s="474"/>
      <c r="F345" s="91"/>
      <c r="G345" s="91"/>
      <c r="H345" s="91"/>
      <c r="I345" s="91"/>
      <c r="J345" s="91"/>
      <c r="K345" s="91"/>
      <c r="L345" s="91"/>
      <c r="M345" s="91"/>
      <c r="N345" s="91"/>
      <c r="O345" s="91"/>
      <c r="P345" s="91"/>
      <c r="Q345" s="91"/>
      <c r="R345" s="91"/>
      <c r="S345" s="91"/>
      <c r="T345" s="91"/>
      <c r="U345" s="91"/>
      <c r="V345" s="91"/>
      <c r="W345" s="91"/>
      <c r="X345" s="474"/>
      <c r="Y345" s="474"/>
      <c r="Z345" s="91"/>
      <c r="AA345" s="91"/>
      <c r="AB345" s="91"/>
      <c r="AC345" s="91"/>
      <c r="AD345" s="91"/>
      <c r="AE345" s="91"/>
      <c r="AF345" s="91"/>
      <c r="AG345" s="91"/>
      <c r="AH345" s="91"/>
      <c r="AI345" s="91"/>
      <c r="AJ345" s="91"/>
      <c r="AK345" s="91"/>
      <c r="AL345" s="91"/>
      <c r="AM345" s="91"/>
      <c r="AN345" s="91"/>
      <c r="AO345" s="91"/>
      <c r="AP345" s="91"/>
      <c r="AQ345" s="91"/>
    </row>
    <row r="346" spans="2:43" ht="14.7" hidden="1" customHeight="1" outlineLevel="1" x14ac:dyDescent="0.3">
      <c r="B346" s="425">
        <f t="shared" si="7"/>
        <v>73</v>
      </c>
      <c r="C346" s="95" t="s">
        <v>456</v>
      </c>
      <c r="D346" s="474"/>
      <c r="E346" s="474"/>
      <c r="F346" s="91"/>
      <c r="G346" s="91"/>
      <c r="H346" s="91"/>
      <c r="I346" s="91"/>
      <c r="J346" s="91"/>
      <c r="K346" s="91"/>
      <c r="L346" s="91"/>
      <c r="M346" s="91"/>
      <c r="N346" s="91"/>
      <c r="O346" s="91"/>
      <c r="P346" s="91"/>
      <c r="Q346" s="91"/>
      <c r="R346" s="91"/>
      <c r="S346" s="91"/>
      <c r="T346" s="91"/>
      <c r="U346" s="91"/>
      <c r="V346" s="91"/>
      <c r="W346" s="91"/>
      <c r="X346" s="474"/>
      <c r="Y346" s="474"/>
      <c r="Z346" s="91"/>
      <c r="AA346" s="91"/>
      <c r="AB346" s="91"/>
      <c r="AC346" s="91"/>
      <c r="AD346" s="91"/>
      <c r="AE346" s="91"/>
      <c r="AF346" s="91"/>
      <c r="AG346" s="91"/>
      <c r="AH346" s="91"/>
      <c r="AI346" s="91"/>
      <c r="AJ346" s="91"/>
      <c r="AK346" s="91"/>
      <c r="AL346" s="91"/>
      <c r="AM346" s="91"/>
      <c r="AN346" s="91"/>
      <c r="AO346" s="91"/>
      <c r="AP346" s="91"/>
      <c r="AQ346" s="91"/>
    </row>
    <row r="347" spans="2:43" ht="14.7" hidden="1" customHeight="1" outlineLevel="1" x14ac:dyDescent="0.3">
      <c r="B347" s="425">
        <f t="shared" si="7"/>
        <v>74</v>
      </c>
      <c r="C347" s="95" t="s">
        <v>456</v>
      </c>
      <c r="D347" s="474"/>
      <c r="E347" s="474"/>
      <c r="F347" s="91"/>
      <c r="G347" s="91"/>
      <c r="H347" s="91"/>
      <c r="I347" s="91"/>
      <c r="J347" s="91"/>
      <c r="K347" s="91"/>
      <c r="L347" s="91"/>
      <c r="M347" s="91"/>
      <c r="N347" s="91"/>
      <c r="O347" s="91"/>
      <c r="P347" s="91"/>
      <c r="Q347" s="91"/>
      <c r="R347" s="91"/>
      <c r="S347" s="91"/>
      <c r="T347" s="91"/>
      <c r="U347" s="91"/>
      <c r="V347" s="91"/>
      <c r="W347" s="91"/>
      <c r="X347" s="474"/>
      <c r="Y347" s="474"/>
      <c r="Z347" s="91"/>
      <c r="AA347" s="91"/>
      <c r="AB347" s="91"/>
      <c r="AC347" s="91"/>
      <c r="AD347" s="91"/>
      <c r="AE347" s="91"/>
      <c r="AF347" s="91"/>
      <c r="AG347" s="91"/>
      <c r="AH347" s="91"/>
      <c r="AI347" s="91"/>
      <c r="AJ347" s="91"/>
      <c r="AK347" s="91"/>
      <c r="AL347" s="91"/>
      <c r="AM347" s="91"/>
      <c r="AN347" s="91"/>
      <c r="AO347" s="91"/>
      <c r="AP347" s="91"/>
      <c r="AQ347" s="91"/>
    </row>
    <row r="348" spans="2:43" ht="14.7" hidden="1" customHeight="1" outlineLevel="1" x14ac:dyDescent="0.3">
      <c r="B348" s="425">
        <f t="shared" si="7"/>
        <v>75</v>
      </c>
      <c r="C348" s="95" t="s">
        <v>456</v>
      </c>
      <c r="D348" s="474"/>
      <c r="E348" s="474"/>
      <c r="F348" s="91"/>
      <c r="G348" s="91"/>
      <c r="H348" s="91"/>
      <c r="I348" s="91"/>
      <c r="J348" s="91"/>
      <c r="K348" s="91"/>
      <c r="L348" s="91"/>
      <c r="M348" s="91"/>
      <c r="N348" s="91"/>
      <c r="O348" s="91"/>
      <c r="P348" s="91"/>
      <c r="Q348" s="91"/>
      <c r="R348" s="91"/>
      <c r="S348" s="91"/>
      <c r="T348" s="91"/>
      <c r="U348" s="91"/>
      <c r="V348" s="91"/>
      <c r="W348" s="91"/>
      <c r="X348" s="474"/>
      <c r="Y348" s="474"/>
      <c r="Z348" s="91"/>
      <c r="AA348" s="91"/>
      <c r="AB348" s="91"/>
      <c r="AC348" s="91"/>
      <c r="AD348" s="91"/>
      <c r="AE348" s="91"/>
      <c r="AF348" s="91"/>
      <c r="AG348" s="91"/>
      <c r="AH348" s="91"/>
      <c r="AI348" s="91"/>
      <c r="AJ348" s="91"/>
      <c r="AK348" s="91"/>
      <c r="AL348" s="91"/>
      <c r="AM348" s="91"/>
      <c r="AN348" s="91"/>
      <c r="AO348" s="91"/>
      <c r="AP348" s="91"/>
      <c r="AQ348" s="91"/>
    </row>
    <row r="349" spans="2:43" ht="14.7" hidden="1" customHeight="1" outlineLevel="1" x14ac:dyDescent="0.3">
      <c r="B349" s="425">
        <f t="shared" si="7"/>
        <v>76</v>
      </c>
      <c r="C349" s="95" t="s">
        <v>456</v>
      </c>
      <c r="D349" s="474"/>
      <c r="E349" s="474"/>
      <c r="F349" s="91"/>
      <c r="G349" s="91"/>
      <c r="H349" s="91"/>
      <c r="I349" s="91"/>
      <c r="J349" s="91"/>
      <c r="K349" s="91"/>
      <c r="L349" s="91"/>
      <c r="M349" s="91"/>
      <c r="N349" s="91"/>
      <c r="O349" s="91"/>
      <c r="P349" s="91"/>
      <c r="Q349" s="91"/>
      <c r="R349" s="91"/>
      <c r="S349" s="91"/>
      <c r="T349" s="91"/>
      <c r="U349" s="91"/>
      <c r="V349" s="91"/>
      <c r="W349" s="91"/>
      <c r="X349" s="474"/>
      <c r="Y349" s="474"/>
      <c r="Z349" s="91"/>
      <c r="AA349" s="91"/>
      <c r="AB349" s="91"/>
      <c r="AC349" s="91"/>
      <c r="AD349" s="91"/>
      <c r="AE349" s="91"/>
      <c r="AF349" s="91"/>
      <c r="AG349" s="91"/>
      <c r="AH349" s="91"/>
      <c r="AI349" s="91"/>
      <c r="AJ349" s="91"/>
      <c r="AK349" s="91"/>
      <c r="AL349" s="91"/>
      <c r="AM349" s="91"/>
      <c r="AN349" s="91"/>
      <c r="AO349" s="91"/>
      <c r="AP349" s="91"/>
      <c r="AQ349" s="91"/>
    </row>
    <row r="350" spans="2:43" ht="14.7" hidden="1" customHeight="1" outlineLevel="1" x14ac:dyDescent="0.3">
      <c r="B350" s="425">
        <f t="shared" si="7"/>
        <v>77</v>
      </c>
      <c r="C350" s="95" t="s">
        <v>456</v>
      </c>
      <c r="D350" s="474"/>
      <c r="E350" s="474"/>
      <c r="F350" s="91"/>
      <c r="G350" s="91"/>
      <c r="H350" s="91"/>
      <c r="I350" s="91"/>
      <c r="J350" s="91"/>
      <c r="K350" s="91"/>
      <c r="L350" s="91"/>
      <c r="M350" s="91"/>
      <c r="N350" s="91"/>
      <c r="O350" s="91"/>
      <c r="P350" s="91"/>
      <c r="Q350" s="91"/>
      <c r="R350" s="91"/>
      <c r="S350" s="91"/>
      <c r="T350" s="91"/>
      <c r="U350" s="91"/>
      <c r="V350" s="91"/>
      <c r="W350" s="91"/>
      <c r="X350" s="474"/>
      <c r="Y350" s="474"/>
      <c r="Z350" s="91"/>
      <c r="AA350" s="91"/>
      <c r="AB350" s="91"/>
      <c r="AC350" s="91"/>
      <c r="AD350" s="91"/>
      <c r="AE350" s="91"/>
      <c r="AF350" s="91"/>
      <c r="AG350" s="91"/>
      <c r="AH350" s="91"/>
      <c r="AI350" s="91"/>
      <c r="AJ350" s="91"/>
      <c r="AK350" s="91"/>
      <c r="AL350" s="91"/>
      <c r="AM350" s="91"/>
      <c r="AN350" s="91"/>
      <c r="AO350" s="91"/>
      <c r="AP350" s="91"/>
      <c r="AQ350" s="91"/>
    </row>
    <row r="351" spans="2:43" ht="14.7" hidden="1" customHeight="1" outlineLevel="1" x14ac:dyDescent="0.3">
      <c r="B351" s="425">
        <f t="shared" si="7"/>
        <v>78</v>
      </c>
      <c r="C351" s="95" t="s">
        <v>456</v>
      </c>
      <c r="D351" s="474"/>
      <c r="E351" s="474"/>
      <c r="F351" s="91"/>
      <c r="G351" s="91"/>
      <c r="H351" s="91"/>
      <c r="I351" s="91"/>
      <c r="J351" s="91"/>
      <c r="K351" s="91"/>
      <c r="L351" s="91"/>
      <c r="M351" s="91"/>
      <c r="N351" s="91"/>
      <c r="O351" s="91"/>
      <c r="P351" s="91"/>
      <c r="Q351" s="91"/>
      <c r="R351" s="91"/>
      <c r="S351" s="91"/>
      <c r="T351" s="91"/>
      <c r="U351" s="91"/>
      <c r="V351" s="91"/>
      <c r="W351" s="91"/>
      <c r="X351" s="474"/>
      <c r="Y351" s="474"/>
      <c r="Z351" s="91"/>
      <c r="AA351" s="91"/>
      <c r="AB351" s="91"/>
      <c r="AC351" s="91"/>
      <c r="AD351" s="91"/>
      <c r="AE351" s="91"/>
      <c r="AF351" s="91"/>
      <c r="AG351" s="91"/>
      <c r="AH351" s="91"/>
      <c r="AI351" s="91"/>
      <c r="AJ351" s="91"/>
      <c r="AK351" s="91"/>
      <c r="AL351" s="91"/>
      <c r="AM351" s="91"/>
      <c r="AN351" s="91"/>
      <c r="AO351" s="91"/>
      <c r="AP351" s="91"/>
      <c r="AQ351" s="91"/>
    </row>
    <row r="352" spans="2:43" ht="14.7" hidden="1" customHeight="1" outlineLevel="1" x14ac:dyDescent="0.3">
      <c r="B352" s="425">
        <f t="shared" si="7"/>
        <v>79</v>
      </c>
      <c r="C352" s="95" t="s">
        <v>456</v>
      </c>
      <c r="D352" s="474"/>
      <c r="E352" s="474"/>
      <c r="F352" s="91"/>
      <c r="G352" s="91"/>
      <c r="H352" s="91"/>
      <c r="I352" s="91"/>
      <c r="J352" s="91"/>
      <c r="K352" s="91"/>
      <c r="L352" s="91"/>
      <c r="M352" s="91"/>
      <c r="N352" s="91"/>
      <c r="O352" s="91"/>
      <c r="P352" s="91"/>
      <c r="Q352" s="91"/>
      <c r="R352" s="91"/>
      <c r="S352" s="91"/>
      <c r="T352" s="91"/>
      <c r="U352" s="91"/>
      <c r="V352" s="91"/>
      <c r="W352" s="91"/>
      <c r="X352" s="474"/>
      <c r="Y352" s="474"/>
      <c r="Z352" s="91"/>
      <c r="AA352" s="91"/>
      <c r="AB352" s="91"/>
      <c r="AC352" s="91"/>
      <c r="AD352" s="91"/>
      <c r="AE352" s="91"/>
      <c r="AF352" s="91"/>
      <c r="AG352" s="91"/>
      <c r="AH352" s="91"/>
      <c r="AI352" s="91"/>
      <c r="AJ352" s="91"/>
      <c r="AK352" s="91"/>
      <c r="AL352" s="91"/>
      <c r="AM352" s="91"/>
      <c r="AN352" s="91"/>
      <c r="AO352" s="91"/>
      <c r="AP352" s="91"/>
      <c r="AQ352" s="91"/>
    </row>
    <row r="353" spans="2:43" ht="12.45" customHeight="1" collapsed="1" x14ac:dyDescent="0.3">
      <c r="B353" s="425">
        <f t="shared" si="7"/>
        <v>80</v>
      </c>
      <c r="C353" s="95" t="s">
        <v>456</v>
      </c>
      <c r="D353" s="474"/>
      <c r="E353" s="474"/>
      <c r="F353" s="91"/>
      <c r="G353" s="91"/>
      <c r="H353" s="91"/>
      <c r="I353" s="91"/>
      <c r="J353" s="91"/>
      <c r="K353" s="91"/>
      <c r="L353" s="91"/>
      <c r="M353" s="91"/>
      <c r="N353" s="91"/>
      <c r="O353" s="91"/>
      <c r="P353" s="91"/>
      <c r="Q353" s="91"/>
      <c r="R353" s="91"/>
      <c r="S353" s="91"/>
      <c r="T353" s="91"/>
      <c r="U353" s="91"/>
      <c r="V353" s="91"/>
      <c r="W353" s="91"/>
      <c r="X353" s="474"/>
      <c r="Y353" s="474"/>
      <c r="Z353" s="91"/>
      <c r="AA353" s="91"/>
      <c r="AB353" s="91"/>
      <c r="AC353" s="91"/>
      <c r="AD353" s="91"/>
      <c r="AE353" s="91"/>
      <c r="AF353" s="91"/>
      <c r="AG353" s="91"/>
      <c r="AH353" s="91"/>
      <c r="AI353" s="91"/>
      <c r="AJ353" s="91"/>
      <c r="AK353" s="91"/>
      <c r="AL353" s="91"/>
      <c r="AM353" s="91"/>
      <c r="AN353" s="91"/>
      <c r="AO353" s="91"/>
      <c r="AP353" s="91"/>
      <c r="AQ353" s="91"/>
    </row>
    <row r="354" spans="2:43" x14ac:dyDescent="0.2">
      <c r="B354" s="252"/>
      <c r="C354" s="468"/>
    </row>
    <row r="355" spans="2:43" x14ac:dyDescent="0.2">
      <c r="B355" s="252"/>
      <c r="C355" s="252" t="s">
        <v>956</v>
      </c>
    </row>
    <row r="356" spans="2:43" x14ac:dyDescent="0.2">
      <c r="B356" s="252"/>
      <c r="C356" s="468"/>
    </row>
    <row r="357" spans="2:43" x14ac:dyDescent="0.2">
      <c r="B357" s="252"/>
      <c r="C357" s="468"/>
    </row>
    <row r="358" spans="2:43" x14ac:dyDescent="0.2">
      <c r="B358" s="252"/>
      <c r="C358" s="468"/>
    </row>
    <row r="359" spans="2:43" ht="12" x14ac:dyDescent="0.2">
      <c r="B359" s="252"/>
      <c r="C359" s="101" t="s">
        <v>855</v>
      </c>
    </row>
    <row r="360" spans="2:43" ht="12" x14ac:dyDescent="0.2">
      <c r="B360" s="252"/>
      <c r="C360" s="415">
        <v>2025</v>
      </c>
      <c r="D360" s="101" t="s">
        <v>1045</v>
      </c>
    </row>
    <row r="361" spans="2:43" x14ac:dyDescent="0.2">
      <c r="B361" s="252"/>
      <c r="C361" s="468"/>
    </row>
    <row r="362" spans="2:43" ht="15.6" x14ac:dyDescent="0.2">
      <c r="B362" s="252"/>
      <c r="C362" s="469" t="s">
        <v>852</v>
      </c>
      <c r="D362" s="437"/>
      <c r="E362" s="437"/>
      <c r="F362" s="437"/>
      <c r="G362" s="438"/>
    </row>
    <row r="363" spans="2:43" x14ac:dyDescent="0.2">
      <c r="B363" s="252"/>
      <c r="C363">
        <v>1</v>
      </c>
      <c r="D363" s="19">
        <f>C363+1</f>
        <v>2</v>
      </c>
      <c r="E363" s="19">
        <f t="shared" ref="E363:Z363" si="8">D363+1</f>
        <v>3</v>
      </c>
      <c r="F363" s="19">
        <f t="shared" si="8"/>
        <v>4</v>
      </c>
      <c r="G363" s="19">
        <f t="shared" si="8"/>
        <v>5</v>
      </c>
      <c r="H363" s="19">
        <f t="shared" si="8"/>
        <v>6</v>
      </c>
      <c r="I363" s="19">
        <f t="shared" si="8"/>
        <v>7</v>
      </c>
      <c r="J363" s="19">
        <f t="shared" si="8"/>
        <v>8</v>
      </c>
      <c r="K363" s="19">
        <f t="shared" si="8"/>
        <v>9</v>
      </c>
      <c r="L363" s="19">
        <f t="shared" si="8"/>
        <v>10</v>
      </c>
      <c r="M363" s="19">
        <f t="shared" si="8"/>
        <v>11</v>
      </c>
      <c r="N363" s="19">
        <f t="shared" si="8"/>
        <v>12</v>
      </c>
      <c r="O363" s="19">
        <f t="shared" si="8"/>
        <v>13</v>
      </c>
      <c r="P363" s="19">
        <f t="shared" si="8"/>
        <v>14</v>
      </c>
      <c r="Q363" s="19">
        <f t="shared" si="8"/>
        <v>15</v>
      </c>
      <c r="R363" s="19">
        <f t="shared" si="8"/>
        <v>16</v>
      </c>
      <c r="S363" s="19">
        <f t="shared" si="8"/>
        <v>17</v>
      </c>
      <c r="T363" s="19">
        <f t="shared" si="8"/>
        <v>18</v>
      </c>
      <c r="U363" s="19">
        <f t="shared" si="8"/>
        <v>19</v>
      </c>
      <c r="V363" s="19">
        <f t="shared" si="8"/>
        <v>20</v>
      </c>
      <c r="W363" s="19">
        <f t="shared" si="8"/>
        <v>21</v>
      </c>
      <c r="X363" s="19">
        <f t="shared" si="8"/>
        <v>22</v>
      </c>
      <c r="Y363" s="19">
        <f t="shared" si="8"/>
        <v>23</v>
      </c>
      <c r="Z363" s="19">
        <f t="shared" si="8"/>
        <v>24</v>
      </c>
    </row>
    <row r="364" spans="2:43" ht="24" x14ac:dyDescent="0.2">
      <c r="B364" s="252"/>
      <c r="C364" s="96" t="s">
        <v>974</v>
      </c>
      <c r="E364" s="470" t="s">
        <v>975</v>
      </c>
      <c r="F364" s="566" t="s">
        <v>1000</v>
      </c>
      <c r="G364" s="567"/>
      <c r="H364" s="567"/>
      <c r="I364" s="568"/>
      <c r="J364" s="569" t="s">
        <v>977</v>
      </c>
      <c r="K364" s="569"/>
      <c r="L364" s="471" t="s">
        <v>978</v>
      </c>
      <c r="M364" s="472" t="s">
        <v>1001</v>
      </c>
      <c r="N364" s="566" t="s">
        <v>979</v>
      </c>
      <c r="O364" s="567"/>
      <c r="P364" s="567"/>
      <c r="Q364" s="567"/>
      <c r="R364" s="567"/>
      <c r="S364" s="567"/>
      <c r="T364" s="567"/>
      <c r="U364" s="568"/>
      <c r="V364" s="470" t="s">
        <v>980</v>
      </c>
      <c r="W364" s="470"/>
      <c r="X364" s="576" t="s">
        <v>1004</v>
      </c>
      <c r="Y364" s="576"/>
      <c r="Z364" s="576"/>
    </row>
    <row r="365" spans="2:43" ht="60" x14ac:dyDescent="0.2">
      <c r="B365" s="252"/>
      <c r="C365" s="418" t="s">
        <v>456</v>
      </c>
      <c r="D365" s="461" t="s">
        <v>380</v>
      </c>
      <c r="E365" s="461" t="s">
        <v>975</v>
      </c>
      <c r="F365" s="461" t="s">
        <v>981</v>
      </c>
      <c r="G365" s="461" t="s">
        <v>982</v>
      </c>
      <c r="H365" s="461" t="s">
        <v>983</v>
      </c>
      <c r="I365" s="473" t="s">
        <v>984</v>
      </c>
      <c r="J365" s="418" t="s">
        <v>977</v>
      </c>
      <c r="K365" s="418" t="s">
        <v>985</v>
      </c>
      <c r="L365" s="461" t="s">
        <v>733</v>
      </c>
      <c r="M365" s="461" t="s">
        <v>1002</v>
      </c>
      <c r="N365" s="461" t="s">
        <v>986</v>
      </c>
      <c r="O365" s="461" t="s">
        <v>987</v>
      </c>
      <c r="P365" s="461" t="s">
        <v>1026</v>
      </c>
      <c r="Q365" s="461" t="s">
        <v>1027</v>
      </c>
      <c r="R365" s="461" t="s">
        <v>988</v>
      </c>
      <c r="S365" s="461" t="s">
        <v>989</v>
      </c>
      <c r="T365" s="461" t="s">
        <v>1003</v>
      </c>
      <c r="U365" s="461" t="s">
        <v>990</v>
      </c>
      <c r="V365" s="461" t="s">
        <v>991</v>
      </c>
      <c r="W365" s="461" t="s">
        <v>992</v>
      </c>
      <c r="X365" s="484" t="s">
        <v>1005</v>
      </c>
      <c r="Y365" s="484" t="s">
        <v>1006</v>
      </c>
      <c r="Z365" s="484" t="s">
        <v>1007</v>
      </c>
    </row>
    <row r="366" spans="2:43" ht="14.4" x14ac:dyDescent="0.3">
      <c r="B366" s="425">
        <v>1</v>
      </c>
      <c r="C366" s="95" t="s">
        <v>166</v>
      </c>
      <c r="D366" s="474">
        <v>210.24</v>
      </c>
      <c r="E366" s="588">
        <v>192</v>
      </c>
      <c r="F366" s="586">
        <v>0</v>
      </c>
      <c r="G366" s="586">
        <v>0</v>
      </c>
      <c r="H366" s="586">
        <v>0</v>
      </c>
      <c r="I366" s="586">
        <v>0</v>
      </c>
      <c r="J366" s="587">
        <v>68</v>
      </c>
      <c r="K366" s="587">
        <v>0</v>
      </c>
      <c r="L366" s="91"/>
      <c r="M366" s="91"/>
      <c r="N366" s="91"/>
      <c r="O366" s="91"/>
      <c r="P366" s="91"/>
      <c r="Q366" s="91"/>
      <c r="R366" s="91"/>
      <c r="S366" s="91"/>
      <c r="T366" s="91"/>
      <c r="U366" s="91"/>
      <c r="V366" s="91"/>
      <c r="W366" s="91"/>
      <c r="X366" s="333">
        <f>IFERROR(E366,"")</f>
        <v>192</v>
      </c>
      <c r="Y366" s="199">
        <f>SUM(F366:I366)</f>
        <v>0</v>
      </c>
      <c r="Z366" s="333">
        <f>J366+K366</f>
        <v>68</v>
      </c>
    </row>
    <row r="367" spans="2:43" ht="14.4" x14ac:dyDescent="0.3">
      <c r="B367" s="425">
        <f>1+B366</f>
        <v>2</v>
      </c>
      <c r="C367" s="95" t="s">
        <v>169</v>
      </c>
      <c r="D367" s="474">
        <v>244.01</v>
      </c>
      <c r="E367" s="588">
        <v>130</v>
      </c>
      <c r="F367" s="586">
        <v>5</v>
      </c>
      <c r="G367" s="586">
        <v>0</v>
      </c>
      <c r="H367" s="586">
        <v>0</v>
      </c>
      <c r="I367" s="586">
        <v>0</v>
      </c>
      <c r="J367" s="586">
        <v>107</v>
      </c>
      <c r="K367" s="586">
        <v>0</v>
      </c>
      <c r="L367" s="91"/>
      <c r="M367" s="91"/>
      <c r="N367" s="91"/>
      <c r="O367" s="91"/>
      <c r="P367" s="91"/>
      <c r="Q367" s="91"/>
      <c r="R367" s="91"/>
      <c r="S367" s="91"/>
      <c r="T367" s="91"/>
      <c r="U367" s="91"/>
      <c r="V367" s="91"/>
      <c r="W367" s="91"/>
      <c r="X367" s="333">
        <f t="shared" ref="X367:X410" si="9">E367</f>
        <v>130</v>
      </c>
      <c r="Y367" s="199">
        <f t="shared" ref="Y367:Y410" si="10">SUM(F367:I367)</f>
        <v>5</v>
      </c>
      <c r="Z367" s="333">
        <f t="shared" ref="Z367:Z410" si="11">J367+K367</f>
        <v>107</v>
      </c>
    </row>
    <row r="368" spans="2:43" ht="14.4" x14ac:dyDescent="0.3">
      <c r="B368" s="425">
        <f t="shared" ref="B368:B433" si="12">1+B367</f>
        <v>3</v>
      </c>
      <c r="C368" s="95" t="s">
        <v>173</v>
      </c>
      <c r="D368" s="474">
        <v>281.16000000000003</v>
      </c>
      <c r="E368" s="588">
        <v>181</v>
      </c>
      <c r="F368" s="586">
        <v>7</v>
      </c>
      <c r="G368" s="586">
        <v>0</v>
      </c>
      <c r="H368" s="586">
        <v>0</v>
      </c>
      <c r="I368" s="586">
        <v>0</v>
      </c>
      <c r="J368" s="586">
        <v>103</v>
      </c>
      <c r="K368" s="586">
        <v>0</v>
      </c>
      <c r="L368" s="91"/>
      <c r="M368" s="91"/>
      <c r="N368" s="91"/>
      <c r="O368" s="91"/>
      <c r="P368" s="91"/>
      <c r="Q368" s="91"/>
      <c r="R368" s="91"/>
      <c r="S368" s="91"/>
      <c r="T368" s="91"/>
      <c r="U368" s="91"/>
      <c r="V368" s="91"/>
      <c r="W368" s="91"/>
      <c r="X368" s="333">
        <f t="shared" si="9"/>
        <v>181</v>
      </c>
      <c r="Y368" s="199">
        <f t="shared" si="10"/>
        <v>7</v>
      </c>
      <c r="Z368" s="333">
        <f t="shared" si="11"/>
        <v>103</v>
      </c>
    </row>
    <row r="369" spans="2:26" ht="14.4" x14ac:dyDescent="0.3">
      <c r="B369" s="425">
        <f t="shared" si="12"/>
        <v>4</v>
      </c>
      <c r="C369" s="95" t="s">
        <v>176</v>
      </c>
      <c r="D369" s="474">
        <v>328.44</v>
      </c>
      <c r="E369" s="588">
        <v>127</v>
      </c>
      <c r="F369" s="586">
        <v>19</v>
      </c>
      <c r="G369" s="586">
        <v>5</v>
      </c>
      <c r="H369" s="586">
        <v>1</v>
      </c>
      <c r="I369" s="586">
        <v>17</v>
      </c>
      <c r="J369" s="586">
        <v>0</v>
      </c>
      <c r="K369" s="586">
        <v>164</v>
      </c>
      <c r="L369" s="91"/>
      <c r="M369" s="91"/>
      <c r="N369" s="91"/>
      <c r="O369" s="91"/>
      <c r="P369" s="91"/>
      <c r="Q369" s="91"/>
      <c r="R369" s="91"/>
      <c r="S369" s="91"/>
      <c r="T369" s="91"/>
      <c r="U369" s="91"/>
      <c r="V369" s="91"/>
      <c r="W369" s="91"/>
      <c r="X369" s="333">
        <f t="shared" si="9"/>
        <v>127</v>
      </c>
      <c r="Y369" s="199">
        <f t="shared" si="10"/>
        <v>42</v>
      </c>
      <c r="Z369" s="333">
        <f t="shared" si="11"/>
        <v>164</v>
      </c>
    </row>
    <row r="370" spans="2:26" ht="14.4" x14ac:dyDescent="0.3">
      <c r="B370" s="425">
        <f t="shared" si="12"/>
        <v>5</v>
      </c>
      <c r="C370" s="95" t="s">
        <v>179</v>
      </c>
      <c r="D370" s="474">
        <v>367.29</v>
      </c>
      <c r="E370" s="588">
        <v>135</v>
      </c>
      <c r="F370" s="586">
        <v>19</v>
      </c>
      <c r="G370" s="586">
        <v>4</v>
      </c>
      <c r="H370" s="586">
        <v>1</v>
      </c>
      <c r="I370" s="586">
        <v>13</v>
      </c>
      <c r="J370" s="586">
        <v>0</v>
      </c>
      <c r="K370" s="586">
        <v>160</v>
      </c>
      <c r="L370" s="91"/>
      <c r="M370" s="91"/>
      <c r="N370" s="91"/>
      <c r="O370" s="91"/>
      <c r="P370" s="91"/>
      <c r="Q370" s="91"/>
      <c r="R370" s="91"/>
      <c r="S370" s="91"/>
      <c r="T370" s="91"/>
      <c r="U370" s="91"/>
      <c r="V370" s="91"/>
      <c r="W370" s="91"/>
      <c r="X370" s="333">
        <f t="shared" si="9"/>
        <v>135</v>
      </c>
      <c r="Y370" s="199">
        <f t="shared" si="10"/>
        <v>37</v>
      </c>
      <c r="Z370" s="333">
        <f t="shared" si="11"/>
        <v>160</v>
      </c>
    </row>
    <row r="371" spans="2:26" ht="14.4" x14ac:dyDescent="0.3">
      <c r="B371" s="425">
        <f t="shared" si="12"/>
        <v>6</v>
      </c>
      <c r="C371" s="95" t="s">
        <v>181</v>
      </c>
      <c r="D371" s="474">
        <v>421.32</v>
      </c>
      <c r="E371" s="588">
        <v>183</v>
      </c>
      <c r="F371" s="586">
        <v>14</v>
      </c>
      <c r="G371" s="586">
        <v>5</v>
      </c>
      <c r="H371" s="586">
        <v>1</v>
      </c>
      <c r="I371" s="586">
        <v>12</v>
      </c>
      <c r="J371" s="586">
        <v>0</v>
      </c>
      <c r="K371" s="586">
        <v>224</v>
      </c>
      <c r="L371" s="91"/>
      <c r="M371" s="91"/>
      <c r="N371" s="91"/>
      <c r="O371" s="91"/>
      <c r="P371" s="91"/>
      <c r="Q371" s="91"/>
      <c r="R371" s="91"/>
      <c r="S371" s="91"/>
      <c r="T371" s="91"/>
      <c r="U371" s="91"/>
      <c r="V371" s="91"/>
      <c r="W371" s="91"/>
      <c r="X371" s="333">
        <f t="shared" si="9"/>
        <v>183</v>
      </c>
      <c r="Y371" s="199">
        <f t="shared" si="10"/>
        <v>32</v>
      </c>
      <c r="Z371" s="333">
        <f t="shared" si="11"/>
        <v>224</v>
      </c>
    </row>
    <row r="372" spans="2:26" ht="14.4" x14ac:dyDescent="0.3">
      <c r="B372" s="425">
        <f t="shared" si="12"/>
        <v>7</v>
      </c>
      <c r="C372" s="95" t="s">
        <v>183</v>
      </c>
      <c r="D372" s="474">
        <v>505.76</v>
      </c>
      <c r="E372" s="588">
        <v>172</v>
      </c>
      <c r="F372" s="586">
        <v>21</v>
      </c>
      <c r="G372" s="586">
        <v>9</v>
      </c>
      <c r="H372" s="586">
        <v>3</v>
      </c>
      <c r="I372" s="586">
        <v>13</v>
      </c>
      <c r="J372" s="586">
        <v>0</v>
      </c>
      <c r="K372" s="586">
        <v>334</v>
      </c>
      <c r="L372" s="91"/>
      <c r="M372" s="91"/>
      <c r="N372" s="91"/>
      <c r="O372" s="91"/>
      <c r="P372" s="91"/>
      <c r="Q372" s="91"/>
      <c r="R372" s="91"/>
      <c r="S372" s="91"/>
      <c r="T372" s="91"/>
      <c r="U372" s="91"/>
      <c r="V372" s="91"/>
      <c r="W372" s="91"/>
      <c r="X372" s="333">
        <f t="shared" si="9"/>
        <v>172</v>
      </c>
      <c r="Y372" s="199">
        <f t="shared" si="10"/>
        <v>46</v>
      </c>
      <c r="Z372" s="333">
        <f t="shared" si="11"/>
        <v>334</v>
      </c>
    </row>
    <row r="373" spans="2:26" ht="14.4" x14ac:dyDescent="0.3">
      <c r="B373" s="425">
        <f t="shared" si="12"/>
        <v>8</v>
      </c>
      <c r="C373" s="95" t="s">
        <v>186</v>
      </c>
      <c r="D373" s="474">
        <v>547.98</v>
      </c>
      <c r="E373" s="588">
        <v>153</v>
      </c>
      <c r="F373" s="586">
        <v>22</v>
      </c>
      <c r="G373" s="586">
        <v>9</v>
      </c>
      <c r="H373" s="586">
        <v>2</v>
      </c>
      <c r="I373" s="586">
        <v>18</v>
      </c>
      <c r="J373" s="586">
        <v>0</v>
      </c>
      <c r="K373" s="586">
        <v>361</v>
      </c>
      <c r="L373" s="91"/>
      <c r="M373" s="91"/>
      <c r="N373" s="91"/>
      <c r="O373" s="91"/>
      <c r="P373" s="91"/>
      <c r="Q373" s="91"/>
      <c r="R373" s="91"/>
      <c r="S373" s="91"/>
      <c r="T373" s="91"/>
      <c r="U373" s="91"/>
      <c r="V373" s="91"/>
      <c r="W373" s="91"/>
      <c r="X373" s="333">
        <f t="shared" si="9"/>
        <v>153</v>
      </c>
      <c r="Y373" s="199">
        <f t="shared" si="10"/>
        <v>51</v>
      </c>
      <c r="Z373" s="333">
        <f t="shared" si="11"/>
        <v>361</v>
      </c>
    </row>
    <row r="374" spans="2:26" ht="14.4" x14ac:dyDescent="0.3">
      <c r="B374" s="425">
        <f t="shared" si="12"/>
        <v>9</v>
      </c>
      <c r="C374" s="95" t="s">
        <v>1036</v>
      </c>
      <c r="D374" s="474">
        <v>612.14</v>
      </c>
      <c r="E374" s="588">
        <v>124</v>
      </c>
      <c r="F374" s="586">
        <v>20</v>
      </c>
      <c r="G374" s="586">
        <v>7</v>
      </c>
      <c r="H374" s="586">
        <v>2</v>
      </c>
      <c r="I374" s="586">
        <v>19</v>
      </c>
      <c r="J374" s="586">
        <v>0</v>
      </c>
      <c r="K374" s="586">
        <v>480</v>
      </c>
      <c r="L374" s="91"/>
      <c r="M374" s="91"/>
      <c r="N374" s="91"/>
      <c r="O374" s="91"/>
      <c r="P374" s="91"/>
      <c r="Q374" s="91"/>
      <c r="R374" s="91"/>
      <c r="S374" s="91"/>
      <c r="T374" s="91"/>
      <c r="U374" s="91"/>
      <c r="V374" s="91"/>
      <c r="W374" s="91"/>
      <c r="X374" s="333">
        <f t="shared" si="9"/>
        <v>124</v>
      </c>
      <c r="Y374" s="199">
        <f t="shared" si="10"/>
        <v>48</v>
      </c>
      <c r="Z374" s="333">
        <f t="shared" si="11"/>
        <v>480</v>
      </c>
    </row>
    <row r="375" spans="2:26" ht="14.4" outlineLevel="1" x14ac:dyDescent="0.3">
      <c r="B375" s="425">
        <f t="shared" si="12"/>
        <v>10</v>
      </c>
      <c r="C375" s="95" t="s">
        <v>190</v>
      </c>
      <c r="D375" s="474">
        <v>1181.23</v>
      </c>
      <c r="E375" s="588">
        <v>189</v>
      </c>
      <c r="F375" s="586">
        <v>8</v>
      </c>
      <c r="G375" s="586">
        <v>3</v>
      </c>
      <c r="H375" s="586">
        <v>2</v>
      </c>
      <c r="I375" s="586">
        <v>7</v>
      </c>
      <c r="J375" s="586">
        <v>987</v>
      </c>
      <c r="K375" s="586">
        <v>0</v>
      </c>
      <c r="L375" s="91"/>
      <c r="M375" s="91"/>
      <c r="N375" s="91"/>
      <c r="O375" s="91"/>
      <c r="P375" s="91"/>
      <c r="Q375" s="91"/>
      <c r="R375" s="91"/>
      <c r="S375" s="91"/>
      <c r="T375" s="91"/>
      <c r="U375" s="91"/>
      <c r="V375" s="91"/>
      <c r="W375" s="91"/>
      <c r="X375" s="333">
        <f t="shared" si="9"/>
        <v>189</v>
      </c>
      <c r="Y375" s="199">
        <f t="shared" si="10"/>
        <v>20</v>
      </c>
      <c r="Z375" s="333">
        <f t="shared" si="11"/>
        <v>987</v>
      </c>
    </row>
    <row r="376" spans="2:26" ht="14.4" outlineLevel="1" x14ac:dyDescent="0.3">
      <c r="B376" s="425">
        <f t="shared" si="12"/>
        <v>11</v>
      </c>
      <c r="C376" s="95" t="s">
        <v>167</v>
      </c>
      <c r="D376" s="474">
        <v>240.52</v>
      </c>
      <c r="E376" s="588">
        <v>0</v>
      </c>
      <c r="F376" s="586">
        <v>0</v>
      </c>
      <c r="G376" s="586">
        <v>0</v>
      </c>
      <c r="H376" s="586">
        <v>0</v>
      </c>
      <c r="I376" s="586">
        <v>0</v>
      </c>
      <c r="J376" s="586">
        <v>237</v>
      </c>
      <c r="K376" s="586">
        <v>0</v>
      </c>
      <c r="L376" s="91"/>
      <c r="M376" s="91"/>
      <c r="N376" s="91"/>
      <c r="O376" s="91"/>
      <c r="P376" s="91"/>
      <c r="Q376" s="91"/>
      <c r="R376" s="91"/>
      <c r="S376" s="91"/>
      <c r="T376" s="91"/>
      <c r="U376" s="91"/>
      <c r="V376" s="91"/>
      <c r="W376" s="91"/>
      <c r="X376" s="333">
        <f t="shared" si="9"/>
        <v>0</v>
      </c>
      <c r="Y376" s="199">
        <f t="shared" si="10"/>
        <v>0</v>
      </c>
      <c r="Z376" s="333">
        <f t="shared" si="11"/>
        <v>237</v>
      </c>
    </row>
    <row r="377" spans="2:26" ht="14.4" outlineLevel="1" x14ac:dyDescent="0.3">
      <c r="B377" s="425">
        <f t="shared" si="12"/>
        <v>12</v>
      </c>
      <c r="C377" s="513" t="s">
        <v>170</v>
      </c>
      <c r="D377" s="474">
        <v>257.76</v>
      </c>
      <c r="E377" s="588">
        <v>0</v>
      </c>
      <c r="F377" s="586">
        <v>0</v>
      </c>
      <c r="G377" s="586">
        <v>0</v>
      </c>
      <c r="H377" s="586">
        <v>0</v>
      </c>
      <c r="I377" s="586">
        <v>0</v>
      </c>
      <c r="J377" s="586">
        <v>232</v>
      </c>
      <c r="K377" s="586">
        <v>0</v>
      </c>
      <c r="L377" s="91"/>
      <c r="M377" s="91"/>
      <c r="N377" s="91"/>
      <c r="O377" s="91"/>
      <c r="P377" s="91"/>
      <c r="Q377" s="91"/>
      <c r="R377" s="91"/>
      <c r="S377" s="91"/>
      <c r="T377" s="91"/>
      <c r="U377" s="91"/>
      <c r="V377" s="91"/>
      <c r="W377" s="91"/>
      <c r="X377" s="333">
        <f t="shared" si="9"/>
        <v>0</v>
      </c>
      <c r="Y377" s="199">
        <f t="shared" si="10"/>
        <v>0</v>
      </c>
      <c r="Z377" s="333">
        <f t="shared" si="11"/>
        <v>232</v>
      </c>
    </row>
    <row r="378" spans="2:26" ht="14.4" outlineLevel="1" x14ac:dyDescent="0.3">
      <c r="B378" s="425">
        <f t="shared" si="12"/>
        <v>13</v>
      </c>
      <c r="C378" s="95" t="s">
        <v>174</v>
      </c>
      <c r="D378" s="474">
        <v>300.86</v>
      </c>
      <c r="E378" s="588">
        <v>0</v>
      </c>
      <c r="F378" s="586">
        <v>0</v>
      </c>
      <c r="G378" s="586">
        <v>0</v>
      </c>
      <c r="H378" s="586">
        <v>0</v>
      </c>
      <c r="I378" s="586">
        <v>0</v>
      </c>
      <c r="J378" s="586">
        <v>0</v>
      </c>
      <c r="K378" s="586">
        <v>244</v>
      </c>
      <c r="L378" s="91"/>
      <c r="M378" s="91"/>
      <c r="N378" s="91"/>
      <c r="O378" s="91"/>
      <c r="P378" s="91"/>
      <c r="Q378" s="91"/>
      <c r="R378" s="91"/>
      <c r="S378" s="91"/>
      <c r="T378" s="91"/>
      <c r="U378" s="91"/>
      <c r="V378" s="91"/>
      <c r="W378" s="91"/>
      <c r="X378" s="333">
        <f t="shared" si="9"/>
        <v>0</v>
      </c>
      <c r="Y378" s="199">
        <f t="shared" si="10"/>
        <v>0</v>
      </c>
      <c r="Z378" s="333">
        <f t="shared" si="11"/>
        <v>244</v>
      </c>
    </row>
    <row r="379" spans="2:26" ht="14.4" outlineLevel="1" x14ac:dyDescent="0.3">
      <c r="B379" s="425">
        <f t="shared" si="12"/>
        <v>14</v>
      </c>
      <c r="C379" s="95" t="s">
        <v>177</v>
      </c>
      <c r="D379" s="474">
        <v>343.97</v>
      </c>
      <c r="E379" s="588">
        <v>0</v>
      </c>
      <c r="F379" s="586">
        <v>0</v>
      </c>
      <c r="G379" s="586">
        <v>0</v>
      </c>
      <c r="H379" s="586">
        <v>0</v>
      </c>
      <c r="I379" s="586">
        <v>0</v>
      </c>
      <c r="J379" s="586">
        <v>0</v>
      </c>
      <c r="K379" s="586">
        <v>422</v>
      </c>
      <c r="L379" s="91"/>
      <c r="M379" s="91"/>
      <c r="N379" s="91"/>
      <c r="O379" s="91"/>
      <c r="P379" s="91"/>
      <c r="Q379" s="91"/>
      <c r="R379" s="91"/>
      <c r="S379" s="91"/>
      <c r="T379" s="91"/>
      <c r="U379" s="91"/>
      <c r="V379" s="91"/>
      <c r="W379" s="91"/>
      <c r="X379" s="333">
        <f t="shared" si="9"/>
        <v>0</v>
      </c>
      <c r="Y379" s="199">
        <f t="shared" si="10"/>
        <v>0</v>
      </c>
      <c r="Z379" s="333">
        <f t="shared" si="11"/>
        <v>422</v>
      </c>
    </row>
    <row r="380" spans="2:26" ht="14.4" outlineLevel="1" x14ac:dyDescent="0.3">
      <c r="B380" s="425">
        <f t="shared" si="12"/>
        <v>15</v>
      </c>
      <c r="C380" s="95" t="s">
        <v>180</v>
      </c>
      <c r="D380" s="474">
        <v>387.07</v>
      </c>
      <c r="E380" s="588">
        <v>0</v>
      </c>
      <c r="F380" s="586">
        <v>0</v>
      </c>
      <c r="G380" s="586">
        <v>0</v>
      </c>
      <c r="H380" s="586">
        <v>0</v>
      </c>
      <c r="I380" s="586">
        <v>0</v>
      </c>
      <c r="J380" s="586">
        <v>0</v>
      </c>
      <c r="K380" s="586">
        <v>352</v>
      </c>
      <c r="L380" s="91"/>
      <c r="M380" s="91"/>
      <c r="N380" s="91"/>
      <c r="O380" s="91"/>
      <c r="P380" s="91"/>
      <c r="Q380" s="91"/>
      <c r="R380" s="91"/>
      <c r="S380" s="91"/>
      <c r="T380" s="91"/>
      <c r="U380" s="91"/>
      <c r="V380" s="91"/>
      <c r="W380" s="91"/>
      <c r="X380" s="333">
        <f t="shared" si="9"/>
        <v>0</v>
      </c>
      <c r="Y380" s="199">
        <f t="shared" si="10"/>
        <v>0</v>
      </c>
      <c r="Z380" s="333">
        <f t="shared" si="11"/>
        <v>352</v>
      </c>
    </row>
    <row r="381" spans="2:26" ht="14.4" outlineLevel="1" x14ac:dyDescent="0.3">
      <c r="B381" s="425">
        <f t="shared" si="12"/>
        <v>16</v>
      </c>
      <c r="C381" s="95" t="s">
        <v>1037</v>
      </c>
      <c r="D381" s="474">
        <v>430.17</v>
      </c>
      <c r="E381" s="588">
        <v>0</v>
      </c>
      <c r="F381" s="586">
        <v>0</v>
      </c>
      <c r="G381" s="586">
        <v>0</v>
      </c>
      <c r="H381" s="586">
        <v>0</v>
      </c>
      <c r="I381" s="586">
        <v>0</v>
      </c>
      <c r="J381" s="586">
        <v>0</v>
      </c>
      <c r="K381" s="586">
        <v>533</v>
      </c>
      <c r="L381" s="91"/>
      <c r="M381" s="91"/>
      <c r="N381" s="91"/>
      <c r="O381" s="91"/>
      <c r="P381" s="91"/>
      <c r="Q381" s="91"/>
      <c r="R381" s="91"/>
      <c r="S381" s="91"/>
      <c r="T381" s="91"/>
      <c r="U381" s="91"/>
      <c r="V381" s="91"/>
      <c r="W381" s="91"/>
      <c r="X381" s="333">
        <f t="shared" si="9"/>
        <v>0</v>
      </c>
      <c r="Y381" s="199">
        <f t="shared" si="10"/>
        <v>0</v>
      </c>
      <c r="Z381" s="333">
        <f t="shared" si="11"/>
        <v>533</v>
      </c>
    </row>
    <row r="382" spans="2:26" ht="14.4" outlineLevel="1" x14ac:dyDescent="0.3">
      <c r="B382" s="425">
        <f t="shared" si="12"/>
        <v>17</v>
      </c>
      <c r="C382" s="95" t="s">
        <v>182</v>
      </c>
      <c r="D382" s="474">
        <v>473.28</v>
      </c>
      <c r="E382" s="588">
        <v>0</v>
      </c>
      <c r="F382" s="586">
        <v>0</v>
      </c>
      <c r="G382" s="586">
        <v>0</v>
      </c>
      <c r="H382" s="586">
        <v>0</v>
      </c>
      <c r="I382" s="586">
        <v>0</v>
      </c>
      <c r="J382" s="586">
        <v>0</v>
      </c>
      <c r="K382" s="586">
        <v>379</v>
      </c>
      <c r="L382" s="91"/>
      <c r="M382" s="91"/>
      <c r="N382" s="91"/>
      <c r="O382" s="91"/>
      <c r="P382" s="91"/>
      <c r="Q382" s="91"/>
      <c r="R382" s="91"/>
      <c r="S382" s="91"/>
      <c r="T382" s="91"/>
      <c r="U382" s="91"/>
      <c r="V382" s="91"/>
      <c r="W382" s="91"/>
      <c r="X382" s="333">
        <f t="shared" si="9"/>
        <v>0</v>
      </c>
      <c r="Y382" s="199">
        <f t="shared" si="10"/>
        <v>0</v>
      </c>
      <c r="Z382" s="333">
        <f t="shared" si="11"/>
        <v>379</v>
      </c>
    </row>
    <row r="383" spans="2:26" ht="14.4" outlineLevel="1" x14ac:dyDescent="0.3">
      <c r="B383" s="425">
        <f t="shared" si="12"/>
        <v>18</v>
      </c>
      <c r="C383" s="95" t="s">
        <v>1038</v>
      </c>
      <c r="D383" s="474">
        <v>559.48</v>
      </c>
      <c r="E383" s="588">
        <v>0</v>
      </c>
      <c r="F383" s="586">
        <v>0</v>
      </c>
      <c r="G383" s="586">
        <v>0</v>
      </c>
      <c r="H383" s="586">
        <v>0</v>
      </c>
      <c r="I383" s="586">
        <v>0</v>
      </c>
      <c r="J383" s="586">
        <v>0</v>
      </c>
      <c r="K383" s="586">
        <v>405</v>
      </c>
      <c r="L383" s="91"/>
      <c r="M383" s="91"/>
      <c r="N383" s="91"/>
      <c r="O383" s="91"/>
      <c r="P383" s="91"/>
      <c r="Q383" s="91"/>
      <c r="R383" s="91"/>
      <c r="S383" s="91"/>
      <c r="T383" s="91"/>
      <c r="U383" s="91"/>
      <c r="V383" s="91"/>
      <c r="W383" s="91"/>
      <c r="X383" s="333">
        <f t="shared" si="9"/>
        <v>0</v>
      </c>
      <c r="Y383" s="199">
        <f t="shared" si="10"/>
        <v>0</v>
      </c>
      <c r="Z383" s="333">
        <f t="shared" si="11"/>
        <v>405</v>
      </c>
    </row>
    <row r="384" spans="2:26" ht="14.4" outlineLevel="1" x14ac:dyDescent="0.3">
      <c r="B384" s="425">
        <f t="shared" si="12"/>
        <v>19</v>
      </c>
      <c r="C384" s="95" t="s">
        <v>184</v>
      </c>
      <c r="D384" s="474">
        <v>775</v>
      </c>
      <c r="E384" s="588">
        <v>0</v>
      </c>
      <c r="F384" s="586">
        <v>0</v>
      </c>
      <c r="G384" s="586">
        <v>0</v>
      </c>
      <c r="H384" s="586">
        <v>0</v>
      </c>
      <c r="I384" s="586">
        <v>0</v>
      </c>
      <c r="J384" s="586">
        <v>672</v>
      </c>
      <c r="K384" s="586">
        <v>0</v>
      </c>
      <c r="L384" s="91"/>
      <c r="M384" s="91"/>
      <c r="N384" s="91"/>
      <c r="O384" s="91"/>
      <c r="P384" s="91"/>
      <c r="Q384" s="91"/>
      <c r="R384" s="91"/>
      <c r="S384" s="91"/>
      <c r="T384" s="91"/>
      <c r="U384" s="91"/>
      <c r="V384" s="91"/>
      <c r="W384" s="91"/>
      <c r="X384" s="333">
        <f t="shared" si="9"/>
        <v>0</v>
      </c>
      <c r="Y384" s="199">
        <f t="shared" si="10"/>
        <v>0</v>
      </c>
      <c r="Z384" s="333">
        <f t="shared" si="11"/>
        <v>672</v>
      </c>
    </row>
    <row r="385" spans="2:26" ht="14.4" outlineLevel="1" x14ac:dyDescent="0.3">
      <c r="B385" s="425">
        <f t="shared" si="12"/>
        <v>20</v>
      </c>
      <c r="C385" s="95" t="s">
        <v>194</v>
      </c>
      <c r="D385" s="474">
        <v>336.9</v>
      </c>
      <c r="E385" s="588">
        <v>255</v>
      </c>
      <c r="F385" s="586">
        <v>15</v>
      </c>
      <c r="G385" s="586">
        <v>1</v>
      </c>
      <c r="H385" s="586">
        <v>1</v>
      </c>
      <c r="I385" s="586">
        <v>8</v>
      </c>
      <c r="J385" s="586">
        <v>0</v>
      </c>
      <c r="K385" s="586">
        <v>118</v>
      </c>
      <c r="L385" s="91"/>
      <c r="M385" s="91"/>
      <c r="N385" s="91"/>
      <c r="O385" s="91"/>
      <c r="P385" s="91"/>
      <c r="Q385" s="91"/>
      <c r="R385" s="91"/>
      <c r="S385" s="91"/>
      <c r="T385" s="91"/>
      <c r="U385" s="91"/>
      <c r="V385" s="91"/>
      <c r="W385" s="91"/>
      <c r="X385" s="333">
        <f t="shared" si="9"/>
        <v>255</v>
      </c>
      <c r="Y385" s="199">
        <f t="shared" si="10"/>
        <v>25</v>
      </c>
      <c r="Z385" s="333">
        <f t="shared" si="11"/>
        <v>118</v>
      </c>
    </row>
    <row r="386" spans="2:26" ht="14.4" outlineLevel="1" x14ac:dyDescent="0.3">
      <c r="B386" s="425">
        <f t="shared" si="12"/>
        <v>21</v>
      </c>
      <c r="C386" s="95" t="s">
        <v>196</v>
      </c>
      <c r="D386" s="474">
        <v>463.55</v>
      </c>
      <c r="E386" s="588">
        <v>255</v>
      </c>
      <c r="F386" s="586">
        <v>27</v>
      </c>
      <c r="G386" s="586">
        <v>1</v>
      </c>
      <c r="H386" s="586">
        <v>1</v>
      </c>
      <c r="I386" s="586">
        <v>10</v>
      </c>
      <c r="J386" s="586">
        <v>0</v>
      </c>
      <c r="K386" s="586">
        <v>296</v>
      </c>
      <c r="L386" s="91"/>
      <c r="M386" s="91"/>
      <c r="N386" s="91"/>
      <c r="O386" s="91"/>
      <c r="P386" s="91"/>
      <c r="Q386" s="91"/>
      <c r="R386" s="91"/>
      <c r="S386" s="91"/>
      <c r="T386" s="91"/>
      <c r="U386" s="91"/>
      <c r="V386" s="91"/>
      <c r="W386" s="91"/>
      <c r="X386" s="333">
        <f t="shared" si="9"/>
        <v>255</v>
      </c>
      <c r="Y386" s="199">
        <f t="shared" si="10"/>
        <v>39</v>
      </c>
      <c r="Z386" s="333">
        <f t="shared" si="11"/>
        <v>296</v>
      </c>
    </row>
    <row r="387" spans="2:26" ht="14.4" outlineLevel="1" x14ac:dyDescent="0.3">
      <c r="B387" s="425">
        <f t="shared" si="12"/>
        <v>22</v>
      </c>
      <c r="C387" s="95" t="s">
        <v>198</v>
      </c>
      <c r="D387" s="474">
        <v>547.98</v>
      </c>
      <c r="E387" s="588">
        <v>186</v>
      </c>
      <c r="F387" s="586">
        <v>15</v>
      </c>
      <c r="G387" s="586">
        <v>9</v>
      </c>
      <c r="H387" s="586">
        <v>3</v>
      </c>
      <c r="I387" s="586">
        <v>21</v>
      </c>
      <c r="J387" s="586">
        <v>0</v>
      </c>
      <c r="K387" s="586">
        <v>367</v>
      </c>
      <c r="L387" s="91"/>
      <c r="M387" s="91"/>
      <c r="N387" s="91"/>
      <c r="O387" s="91"/>
      <c r="P387" s="91"/>
      <c r="Q387" s="91"/>
      <c r="R387" s="91"/>
      <c r="S387" s="91"/>
      <c r="T387" s="91"/>
      <c r="U387" s="91"/>
      <c r="V387" s="91"/>
      <c r="W387" s="91"/>
      <c r="X387" s="333">
        <f t="shared" si="9"/>
        <v>186</v>
      </c>
      <c r="Y387" s="199">
        <f t="shared" si="10"/>
        <v>48</v>
      </c>
      <c r="Z387" s="333">
        <f t="shared" si="11"/>
        <v>367</v>
      </c>
    </row>
    <row r="388" spans="2:26" ht="14.4" outlineLevel="1" x14ac:dyDescent="0.3">
      <c r="B388" s="425">
        <f t="shared" si="12"/>
        <v>23</v>
      </c>
      <c r="C388" s="95" t="s">
        <v>200</v>
      </c>
      <c r="D388" s="474">
        <v>674.64</v>
      </c>
      <c r="E388" s="588">
        <v>201</v>
      </c>
      <c r="F388" s="586">
        <v>37</v>
      </c>
      <c r="G388" s="586">
        <v>1</v>
      </c>
      <c r="H388" s="586">
        <v>1</v>
      </c>
      <c r="I388" s="586">
        <v>11</v>
      </c>
      <c r="J388" s="586">
        <v>0</v>
      </c>
      <c r="K388" s="586">
        <v>449</v>
      </c>
      <c r="L388" s="91"/>
      <c r="M388" s="91"/>
      <c r="N388" s="91"/>
      <c r="O388" s="91"/>
      <c r="P388" s="91"/>
      <c r="Q388" s="91"/>
      <c r="R388" s="91"/>
      <c r="S388" s="91"/>
      <c r="T388" s="91"/>
      <c r="U388" s="91"/>
      <c r="V388" s="91"/>
      <c r="W388" s="91"/>
      <c r="X388" s="333">
        <f t="shared" si="9"/>
        <v>201</v>
      </c>
      <c r="Y388" s="199">
        <f t="shared" si="10"/>
        <v>50</v>
      </c>
      <c r="Z388" s="333">
        <f t="shared" si="11"/>
        <v>449</v>
      </c>
    </row>
    <row r="389" spans="2:26" ht="14.4" outlineLevel="1" x14ac:dyDescent="0.3">
      <c r="B389" s="425">
        <f t="shared" si="12"/>
        <v>24</v>
      </c>
      <c r="C389" s="521" t="s">
        <v>188</v>
      </c>
      <c r="D389" s="474">
        <v>843.5</v>
      </c>
      <c r="E389" s="588">
        <v>157</v>
      </c>
      <c r="F389" s="586">
        <v>17</v>
      </c>
      <c r="G389" s="586">
        <v>5</v>
      </c>
      <c r="H389" s="586">
        <v>3</v>
      </c>
      <c r="I389" s="586">
        <v>15</v>
      </c>
      <c r="J389" s="586">
        <v>0</v>
      </c>
      <c r="K389" s="586">
        <v>473</v>
      </c>
      <c r="L389" s="91"/>
      <c r="M389" s="91"/>
      <c r="N389" s="91"/>
      <c r="O389" s="91"/>
      <c r="P389" s="91"/>
      <c r="Q389" s="91"/>
      <c r="R389" s="91"/>
      <c r="S389" s="91"/>
      <c r="T389" s="91"/>
      <c r="U389" s="91"/>
      <c r="V389" s="91"/>
      <c r="W389" s="91"/>
      <c r="X389" s="333">
        <f t="shared" si="9"/>
        <v>157</v>
      </c>
      <c r="Y389" s="199">
        <f t="shared" si="10"/>
        <v>40</v>
      </c>
      <c r="Z389" s="333">
        <f t="shared" si="11"/>
        <v>473</v>
      </c>
    </row>
    <row r="390" spans="2:26" ht="14.4" outlineLevel="1" x14ac:dyDescent="0.3">
      <c r="B390" s="425">
        <f>1+B388</f>
        <v>24</v>
      </c>
      <c r="C390" s="95" t="s">
        <v>202</v>
      </c>
      <c r="D390" s="474">
        <v>843.5</v>
      </c>
      <c r="E390" s="588">
        <v>222</v>
      </c>
      <c r="F390" s="586">
        <v>15</v>
      </c>
      <c r="G390" s="586">
        <v>7</v>
      </c>
      <c r="H390" s="586">
        <v>2</v>
      </c>
      <c r="I390" s="586">
        <v>12</v>
      </c>
      <c r="J390" s="586">
        <v>524</v>
      </c>
      <c r="K390" s="586">
        <v>0</v>
      </c>
      <c r="L390" s="91"/>
      <c r="M390" s="91"/>
      <c r="N390" s="91"/>
      <c r="O390" s="91"/>
      <c r="P390" s="91"/>
      <c r="Q390" s="91"/>
      <c r="R390" s="91"/>
      <c r="S390" s="91"/>
      <c r="T390" s="91"/>
      <c r="U390" s="91"/>
      <c r="V390" s="91"/>
      <c r="W390" s="91"/>
      <c r="X390" s="333">
        <f t="shared" si="9"/>
        <v>222</v>
      </c>
      <c r="Y390" s="199">
        <f t="shared" si="10"/>
        <v>36</v>
      </c>
      <c r="Z390" s="333">
        <f t="shared" si="11"/>
        <v>524</v>
      </c>
    </row>
    <row r="391" spans="2:26" ht="14.4" outlineLevel="1" x14ac:dyDescent="0.3">
      <c r="B391" s="425">
        <f t="shared" si="12"/>
        <v>25</v>
      </c>
      <c r="C391" s="95" t="s">
        <v>203</v>
      </c>
      <c r="D391" s="474">
        <v>1265.6600000000001</v>
      </c>
      <c r="E391" s="588">
        <v>187</v>
      </c>
      <c r="F391" s="586">
        <v>39</v>
      </c>
      <c r="G391" s="586">
        <v>1</v>
      </c>
      <c r="H391" s="586">
        <v>1</v>
      </c>
      <c r="I391" s="586">
        <v>17</v>
      </c>
      <c r="J391" s="586">
        <v>782</v>
      </c>
      <c r="K391" s="586">
        <v>0</v>
      </c>
      <c r="L391" s="91"/>
      <c r="M391" s="91"/>
      <c r="N391" s="91"/>
      <c r="O391" s="91"/>
      <c r="P391" s="91"/>
      <c r="Q391" s="91"/>
      <c r="R391" s="91"/>
      <c r="S391" s="91"/>
      <c r="T391" s="91"/>
      <c r="U391" s="91"/>
      <c r="V391" s="91"/>
      <c r="W391" s="91"/>
      <c r="X391" s="333">
        <f t="shared" si="9"/>
        <v>187</v>
      </c>
      <c r="Y391" s="199">
        <f t="shared" si="10"/>
        <v>58</v>
      </c>
      <c r="Z391" s="333">
        <f t="shared" si="11"/>
        <v>782</v>
      </c>
    </row>
    <row r="392" spans="2:26" ht="14.4" outlineLevel="1" x14ac:dyDescent="0.3">
      <c r="B392" s="425">
        <f t="shared" si="12"/>
        <v>26</v>
      </c>
      <c r="C392" s="95" t="s">
        <v>204</v>
      </c>
      <c r="D392" s="474">
        <v>1510.52</v>
      </c>
      <c r="E392" s="588">
        <v>168</v>
      </c>
      <c r="F392" s="586">
        <v>47</v>
      </c>
      <c r="G392" s="586">
        <v>1</v>
      </c>
      <c r="H392" s="586">
        <v>1</v>
      </c>
      <c r="I392" s="586">
        <v>17</v>
      </c>
      <c r="J392" s="586">
        <v>1205</v>
      </c>
      <c r="K392" s="586">
        <v>0</v>
      </c>
      <c r="L392" s="91"/>
      <c r="M392" s="91"/>
      <c r="N392" s="91"/>
      <c r="O392" s="91"/>
      <c r="P392" s="91"/>
      <c r="Q392" s="91"/>
      <c r="R392" s="91"/>
      <c r="S392" s="91"/>
      <c r="T392" s="91"/>
      <c r="U392" s="91"/>
      <c r="V392" s="91"/>
      <c r="W392" s="91"/>
      <c r="X392" s="333">
        <f t="shared" si="9"/>
        <v>168</v>
      </c>
      <c r="Y392" s="199">
        <f t="shared" si="10"/>
        <v>66</v>
      </c>
      <c r="Z392" s="333">
        <f t="shared" si="11"/>
        <v>1205</v>
      </c>
    </row>
    <row r="393" spans="2:26" ht="14.4" outlineLevel="1" x14ac:dyDescent="0.3">
      <c r="B393" s="425">
        <f t="shared" si="12"/>
        <v>27</v>
      </c>
      <c r="C393" s="95" t="s">
        <v>205</v>
      </c>
      <c r="D393" s="474">
        <v>1932.69</v>
      </c>
      <c r="E393" s="588">
        <v>231</v>
      </c>
      <c r="F393" s="586">
        <v>26</v>
      </c>
      <c r="G393" s="586">
        <v>3</v>
      </c>
      <c r="H393" s="586">
        <v>2</v>
      </c>
      <c r="I393" s="586">
        <v>11</v>
      </c>
      <c r="J393" s="586">
        <v>1920</v>
      </c>
      <c r="K393" s="586">
        <v>0</v>
      </c>
      <c r="L393" s="91"/>
      <c r="M393" s="91"/>
      <c r="N393" s="91"/>
      <c r="O393" s="91"/>
      <c r="P393" s="91"/>
      <c r="Q393" s="91"/>
      <c r="R393" s="91"/>
      <c r="S393" s="91"/>
      <c r="T393" s="91"/>
      <c r="U393" s="91"/>
      <c r="V393" s="91"/>
      <c r="W393" s="91"/>
      <c r="X393" s="333">
        <f t="shared" si="9"/>
        <v>231</v>
      </c>
      <c r="Y393" s="199">
        <f t="shared" si="10"/>
        <v>42</v>
      </c>
      <c r="Z393" s="333">
        <f t="shared" si="11"/>
        <v>1920</v>
      </c>
    </row>
    <row r="394" spans="2:26" ht="14.4" outlineLevel="1" x14ac:dyDescent="0.3">
      <c r="B394" s="425">
        <f t="shared" si="12"/>
        <v>28</v>
      </c>
      <c r="C394" s="513" t="s">
        <v>187</v>
      </c>
      <c r="D394" s="474">
        <v>257.76</v>
      </c>
      <c r="E394" s="588">
        <v>0</v>
      </c>
      <c r="F394" s="586">
        <v>0</v>
      </c>
      <c r="G394" s="586">
        <v>0</v>
      </c>
      <c r="H394" s="586">
        <v>0</v>
      </c>
      <c r="I394" s="586">
        <v>0</v>
      </c>
      <c r="J394" s="586">
        <v>303</v>
      </c>
      <c r="K394" s="586">
        <v>0</v>
      </c>
      <c r="L394" s="91"/>
      <c r="M394" s="91"/>
      <c r="N394" s="91"/>
      <c r="O394" s="91"/>
      <c r="P394" s="91"/>
      <c r="Q394" s="91"/>
      <c r="R394" s="91"/>
      <c r="S394" s="91"/>
      <c r="T394" s="91"/>
      <c r="U394" s="91"/>
      <c r="V394" s="91"/>
      <c r="W394" s="91"/>
      <c r="X394" s="333">
        <f t="shared" si="9"/>
        <v>0</v>
      </c>
      <c r="Y394" s="199">
        <f t="shared" si="10"/>
        <v>0</v>
      </c>
      <c r="Z394" s="333">
        <f t="shared" si="11"/>
        <v>303</v>
      </c>
    </row>
    <row r="395" spans="2:26" ht="14.4" outlineLevel="1" x14ac:dyDescent="0.3">
      <c r="B395" s="425">
        <f t="shared" si="12"/>
        <v>29</v>
      </c>
      <c r="C395" s="95" t="s">
        <v>189</v>
      </c>
      <c r="D395" s="474">
        <v>300.86</v>
      </c>
      <c r="E395" s="588">
        <v>0</v>
      </c>
      <c r="F395" s="586">
        <v>0</v>
      </c>
      <c r="G395" s="586">
        <v>0</v>
      </c>
      <c r="H395" s="586">
        <v>0</v>
      </c>
      <c r="I395" s="586">
        <v>0</v>
      </c>
      <c r="J395" s="586">
        <v>0</v>
      </c>
      <c r="K395" s="586">
        <v>342</v>
      </c>
      <c r="L395" s="91"/>
      <c r="M395" s="91"/>
      <c r="N395" s="91"/>
      <c r="O395" s="91"/>
      <c r="P395" s="91"/>
      <c r="Q395" s="91"/>
      <c r="R395" s="91"/>
      <c r="S395" s="91"/>
      <c r="T395" s="91"/>
      <c r="U395" s="91"/>
      <c r="V395" s="91"/>
      <c r="W395" s="91"/>
      <c r="X395" s="333">
        <f t="shared" si="9"/>
        <v>0</v>
      </c>
      <c r="Y395" s="199">
        <f t="shared" si="10"/>
        <v>0</v>
      </c>
      <c r="Z395" s="333">
        <f t="shared" si="11"/>
        <v>342</v>
      </c>
    </row>
    <row r="396" spans="2:26" ht="14.4" outlineLevel="1" x14ac:dyDescent="0.3">
      <c r="B396" s="425">
        <f t="shared" si="12"/>
        <v>30</v>
      </c>
      <c r="C396" s="95" t="s">
        <v>191</v>
      </c>
      <c r="D396" s="474">
        <v>343.97</v>
      </c>
      <c r="E396" s="588">
        <v>0</v>
      </c>
      <c r="F396" s="586">
        <v>0</v>
      </c>
      <c r="G396" s="586">
        <v>0</v>
      </c>
      <c r="H396" s="586">
        <v>0</v>
      </c>
      <c r="I396" s="586">
        <v>0</v>
      </c>
      <c r="J396" s="586">
        <v>0</v>
      </c>
      <c r="K396" s="586">
        <v>402</v>
      </c>
      <c r="L396" s="91"/>
      <c r="M396" s="91"/>
      <c r="N396" s="91"/>
      <c r="O396" s="91"/>
      <c r="P396" s="91"/>
      <c r="Q396" s="91"/>
      <c r="R396" s="91"/>
      <c r="S396" s="91"/>
      <c r="T396" s="91"/>
      <c r="U396" s="91"/>
      <c r="V396" s="91"/>
      <c r="W396" s="91"/>
      <c r="X396" s="333">
        <f t="shared" si="9"/>
        <v>0</v>
      </c>
      <c r="Y396" s="199">
        <f t="shared" si="10"/>
        <v>0</v>
      </c>
      <c r="Z396" s="333">
        <f t="shared" si="11"/>
        <v>402</v>
      </c>
    </row>
    <row r="397" spans="2:26" ht="14.4" outlineLevel="1" x14ac:dyDescent="0.3">
      <c r="B397" s="425">
        <f t="shared" si="12"/>
        <v>31</v>
      </c>
      <c r="C397" s="95" t="s">
        <v>192</v>
      </c>
      <c r="D397" s="474">
        <v>387.07</v>
      </c>
      <c r="E397" s="588">
        <v>0</v>
      </c>
      <c r="F397" s="586">
        <v>0</v>
      </c>
      <c r="G397" s="586">
        <v>0</v>
      </c>
      <c r="H397" s="586">
        <v>0</v>
      </c>
      <c r="I397" s="586">
        <v>0</v>
      </c>
      <c r="J397" s="586">
        <v>0</v>
      </c>
      <c r="K397" s="586">
        <v>482</v>
      </c>
      <c r="L397" s="91"/>
      <c r="M397" s="91"/>
      <c r="N397" s="91"/>
      <c r="O397" s="91"/>
      <c r="P397" s="91"/>
      <c r="Q397" s="91"/>
      <c r="R397" s="91"/>
      <c r="S397" s="91"/>
      <c r="T397" s="91"/>
      <c r="U397" s="91"/>
      <c r="V397" s="91"/>
      <c r="W397" s="91"/>
      <c r="X397" s="333">
        <f t="shared" si="9"/>
        <v>0</v>
      </c>
      <c r="Y397" s="199">
        <f t="shared" si="10"/>
        <v>0</v>
      </c>
      <c r="Z397" s="333">
        <f t="shared" si="11"/>
        <v>482</v>
      </c>
    </row>
    <row r="398" spans="2:26" ht="14.4" outlineLevel="1" x14ac:dyDescent="0.3">
      <c r="B398" s="425">
        <f t="shared" si="12"/>
        <v>32</v>
      </c>
      <c r="C398" s="95" t="s">
        <v>1040</v>
      </c>
      <c r="D398" s="474">
        <v>430.17</v>
      </c>
      <c r="E398" s="588">
        <v>0</v>
      </c>
      <c r="F398" s="586">
        <v>0</v>
      </c>
      <c r="G398" s="586">
        <v>0</v>
      </c>
      <c r="H398" s="586">
        <v>0</v>
      </c>
      <c r="I398" s="586">
        <v>0</v>
      </c>
      <c r="J398" s="586">
        <v>0</v>
      </c>
      <c r="K398" s="586">
        <v>422</v>
      </c>
      <c r="L398" s="91"/>
      <c r="M398" s="91"/>
      <c r="N398" s="91"/>
      <c r="O398" s="91"/>
      <c r="P398" s="91"/>
      <c r="Q398" s="91"/>
      <c r="R398" s="91"/>
      <c r="S398" s="91"/>
      <c r="T398" s="91"/>
      <c r="U398" s="91"/>
      <c r="V398" s="91"/>
      <c r="W398" s="91"/>
      <c r="X398" s="333">
        <f t="shared" si="9"/>
        <v>0</v>
      </c>
      <c r="Y398" s="199">
        <f t="shared" si="10"/>
        <v>0</v>
      </c>
      <c r="Z398" s="333">
        <f t="shared" si="11"/>
        <v>422</v>
      </c>
    </row>
    <row r="399" spans="2:26" ht="14.4" outlineLevel="1" x14ac:dyDescent="0.3">
      <c r="B399" s="425">
        <f t="shared" si="12"/>
        <v>33</v>
      </c>
      <c r="C399" s="95" t="s">
        <v>193</v>
      </c>
      <c r="D399" s="474">
        <v>473.28</v>
      </c>
      <c r="E399" s="588">
        <v>0</v>
      </c>
      <c r="F399" s="586">
        <v>0</v>
      </c>
      <c r="G399" s="586">
        <v>0</v>
      </c>
      <c r="H399" s="586">
        <v>0</v>
      </c>
      <c r="I399" s="586">
        <v>0</v>
      </c>
      <c r="J399" s="586">
        <v>0</v>
      </c>
      <c r="K399" s="586">
        <v>346</v>
      </c>
      <c r="L399" s="91"/>
      <c r="M399" s="91"/>
      <c r="N399" s="91"/>
      <c r="O399" s="91"/>
      <c r="P399" s="91"/>
      <c r="Q399" s="91"/>
      <c r="R399" s="91"/>
      <c r="S399" s="91"/>
      <c r="T399" s="91"/>
      <c r="U399" s="91"/>
      <c r="V399" s="91"/>
      <c r="W399" s="91"/>
      <c r="X399" s="333">
        <f t="shared" si="9"/>
        <v>0</v>
      </c>
      <c r="Y399" s="199">
        <f t="shared" si="10"/>
        <v>0</v>
      </c>
      <c r="Z399" s="333">
        <f t="shared" si="11"/>
        <v>346</v>
      </c>
    </row>
    <row r="400" spans="2:26" ht="14.4" outlineLevel="1" x14ac:dyDescent="0.3">
      <c r="B400" s="425">
        <f t="shared" si="12"/>
        <v>34</v>
      </c>
      <c r="C400" s="95" t="s">
        <v>1041</v>
      </c>
      <c r="D400" s="474">
        <v>559.48</v>
      </c>
      <c r="E400" s="588">
        <v>0</v>
      </c>
      <c r="F400" s="586">
        <v>0</v>
      </c>
      <c r="G400" s="586">
        <v>0</v>
      </c>
      <c r="H400" s="586">
        <v>0</v>
      </c>
      <c r="I400" s="586">
        <v>0</v>
      </c>
      <c r="J400" s="586">
        <v>0</v>
      </c>
      <c r="K400" s="586">
        <v>597</v>
      </c>
      <c r="L400" s="91"/>
      <c r="M400" s="91"/>
      <c r="N400" s="91"/>
      <c r="O400" s="91"/>
      <c r="P400" s="91"/>
      <c r="Q400" s="91"/>
      <c r="R400" s="91"/>
      <c r="S400" s="91"/>
      <c r="T400" s="91"/>
      <c r="U400" s="91"/>
      <c r="V400" s="91"/>
      <c r="W400" s="91"/>
      <c r="X400" s="333">
        <f t="shared" si="9"/>
        <v>0</v>
      </c>
      <c r="Y400" s="199">
        <f t="shared" si="10"/>
        <v>0</v>
      </c>
      <c r="Z400" s="333">
        <f t="shared" si="11"/>
        <v>597</v>
      </c>
    </row>
    <row r="401" spans="2:26" ht="14.4" outlineLevel="1" x14ac:dyDescent="0.3">
      <c r="B401" s="425">
        <f t="shared" si="12"/>
        <v>35</v>
      </c>
      <c r="C401" s="95" t="s">
        <v>195</v>
      </c>
      <c r="D401" s="474">
        <v>775</v>
      </c>
      <c r="E401" s="588">
        <v>0</v>
      </c>
      <c r="F401" s="586">
        <v>0</v>
      </c>
      <c r="G401" s="586">
        <v>0</v>
      </c>
      <c r="H401" s="586">
        <v>0</v>
      </c>
      <c r="I401" s="586">
        <v>0</v>
      </c>
      <c r="J401" s="586">
        <v>875</v>
      </c>
      <c r="K401" s="586">
        <v>0</v>
      </c>
      <c r="L401" s="91"/>
      <c r="M401" s="91"/>
      <c r="N401" s="91"/>
      <c r="O401" s="91"/>
      <c r="P401" s="91"/>
      <c r="Q401" s="91"/>
      <c r="R401" s="91"/>
      <c r="S401" s="91"/>
      <c r="T401" s="91"/>
      <c r="U401" s="91"/>
      <c r="V401" s="91"/>
      <c r="W401" s="91"/>
      <c r="X401" s="333">
        <f t="shared" si="9"/>
        <v>0</v>
      </c>
      <c r="Y401" s="199">
        <f t="shared" si="10"/>
        <v>0</v>
      </c>
      <c r="Z401" s="333">
        <f t="shared" si="11"/>
        <v>875</v>
      </c>
    </row>
    <row r="402" spans="2:26" ht="14.4" outlineLevel="1" x14ac:dyDescent="0.3">
      <c r="B402" s="425">
        <f t="shared" si="12"/>
        <v>36</v>
      </c>
      <c r="C402" s="95" t="s">
        <v>197</v>
      </c>
      <c r="D402" s="474">
        <v>349</v>
      </c>
      <c r="E402" s="588">
        <v>0</v>
      </c>
      <c r="F402" s="586">
        <v>0</v>
      </c>
      <c r="G402" s="586">
        <v>0</v>
      </c>
      <c r="H402" s="586">
        <v>0</v>
      </c>
      <c r="I402" s="586">
        <v>0</v>
      </c>
      <c r="J402" s="586">
        <v>324</v>
      </c>
      <c r="K402" s="586">
        <v>0</v>
      </c>
      <c r="L402" s="91"/>
      <c r="M402" s="91"/>
      <c r="N402" s="91"/>
      <c r="O402" s="91"/>
      <c r="P402" s="91"/>
      <c r="Q402" s="91"/>
      <c r="R402" s="91"/>
      <c r="S402" s="91"/>
      <c r="T402" s="91"/>
      <c r="U402" s="91"/>
      <c r="V402" s="91"/>
      <c r="W402" s="91"/>
      <c r="X402" s="333">
        <f t="shared" si="9"/>
        <v>0</v>
      </c>
      <c r="Y402" s="199">
        <f t="shared" si="10"/>
        <v>0</v>
      </c>
      <c r="Z402" s="333">
        <f t="shared" si="11"/>
        <v>324</v>
      </c>
    </row>
    <row r="403" spans="2:26" ht="14.4" outlineLevel="1" x14ac:dyDescent="0.3">
      <c r="B403" s="425">
        <f t="shared" si="12"/>
        <v>37</v>
      </c>
      <c r="C403" s="95" t="s">
        <v>199</v>
      </c>
      <c r="D403" s="474">
        <v>608.69000000000005</v>
      </c>
      <c r="E403" s="588">
        <v>0</v>
      </c>
      <c r="F403" s="586">
        <v>0</v>
      </c>
      <c r="G403" s="586">
        <v>0</v>
      </c>
      <c r="H403" s="586">
        <v>0</v>
      </c>
      <c r="I403" s="586">
        <v>0</v>
      </c>
      <c r="J403" s="586">
        <v>782</v>
      </c>
      <c r="K403" s="586">
        <v>0</v>
      </c>
      <c r="L403" s="91"/>
      <c r="M403" s="91"/>
      <c r="N403" s="91"/>
      <c r="O403" s="91"/>
      <c r="P403" s="91"/>
      <c r="Q403" s="91"/>
      <c r="R403" s="91"/>
      <c r="S403" s="91"/>
      <c r="T403" s="91"/>
      <c r="U403" s="91"/>
      <c r="V403" s="91"/>
      <c r="W403" s="91"/>
      <c r="X403" s="333">
        <f t="shared" si="9"/>
        <v>0</v>
      </c>
      <c r="Y403" s="199">
        <f t="shared" si="10"/>
        <v>0</v>
      </c>
      <c r="Z403" s="333">
        <f t="shared" si="11"/>
        <v>782</v>
      </c>
    </row>
    <row r="404" spans="2:26" ht="14.4" outlineLevel="1" x14ac:dyDescent="0.3">
      <c r="B404" s="425">
        <f t="shared" si="12"/>
        <v>38</v>
      </c>
      <c r="C404" s="95" t="s">
        <v>201</v>
      </c>
      <c r="D404" s="474">
        <v>1042.5999999999999</v>
      </c>
      <c r="E404" s="588">
        <v>0</v>
      </c>
      <c r="F404" s="586">
        <v>0</v>
      </c>
      <c r="G404" s="586">
        <v>0</v>
      </c>
      <c r="H404" s="586">
        <v>0</v>
      </c>
      <c r="I404" s="586">
        <v>0</v>
      </c>
      <c r="J404" s="586">
        <v>911</v>
      </c>
      <c r="K404" s="586">
        <v>0</v>
      </c>
      <c r="L404" s="91"/>
      <c r="M404" s="91"/>
      <c r="N404" s="91"/>
      <c r="O404" s="91"/>
      <c r="P404" s="91"/>
      <c r="Q404" s="91"/>
      <c r="R404" s="91"/>
      <c r="S404" s="91"/>
      <c r="T404" s="91"/>
      <c r="U404" s="91"/>
      <c r="V404" s="91"/>
      <c r="W404" s="91"/>
      <c r="X404" s="333">
        <f t="shared" si="9"/>
        <v>0</v>
      </c>
      <c r="Y404" s="199">
        <f t="shared" si="10"/>
        <v>0</v>
      </c>
      <c r="Z404" s="333">
        <f t="shared" si="11"/>
        <v>911</v>
      </c>
    </row>
    <row r="405" spans="2:26" ht="14.4" outlineLevel="1" x14ac:dyDescent="0.3">
      <c r="B405" s="425">
        <f t="shared" si="12"/>
        <v>39</v>
      </c>
      <c r="C405" s="95" t="s">
        <v>494</v>
      </c>
      <c r="D405" s="474">
        <v>509.31</v>
      </c>
      <c r="E405" s="588">
        <v>0</v>
      </c>
      <c r="F405" s="586">
        <v>0</v>
      </c>
      <c r="G405" s="586">
        <v>0</v>
      </c>
      <c r="H405" s="586">
        <v>0</v>
      </c>
      <c r="I405" s="586">
        <v>0</v>
      </c>
      <c r="J405" s="586">
        <v>614</v>
      </c>
      <c r="K405" s="586">
        <v>0</v>
      </c>
      <c r="L405" s="91"/>
      <c r="M405" s="91"/>
      <c r="N405" s="91"/>
      <c r="O405" s="91"/>
      <c r="P405" s="91"/>
      <c r="Q405" s="91"/>
      <c r="R405" s="91"/>
      <c r="S405" s="91"/>
      <c r="T405" s="91"/>
      <c r="U405" s="91"/>
      <c r="V405" s="91"/>
      <c r="W405" s="91"/>
      <c r="X405" s="333">
        <f t="shared" si="9"/>
        <v>0</v>
      </c>
      <c r="Y405" s="199">
        <f t="shared" si="10"/>
        <v>0</v>
      </c>
      <c r="Z405" s="333">
        <f t="shared" si="11"/>
        <v>614</v>
      </c>
    </row>
    <row r="406" spans="2:26" ht="14.4" outlineLevel="1" x14ac:dyDescent="0.3">
      <c r="B406" s="425">
        <f t="shared" si="12"/>
        <v>40</v>
      </c>
      <c r="C406" s="95" t="s">
        <v>496</v>
      </c>
      <c r="D406" s="474">
        <v>679.07</v>
      </c>
      <c r="E406" s="588">
        <v>0</v>
      </c>
      <c r="F406" s="586">
        <v>0</v>
      </c>
      <c r="G406" s="586">
        <v>0</v>
      </c>
      <c r="H406" s="586">
        <v>0</v>
      </c>
      <c r="I406" s="586">
        <v>0</v>
      </c>
      <c r="J406" s="586">
        <v>493</v>
      </c>
      <c r="K406" s="586">
        <v>0</v>
      </c>
      <c r="L406" s="91"/>
      <c r="M406" s="91"/>
      <c r="N406" s="91"/>
      <c r="O406" s="91"/>
      <c r="P406" s="91"/>
      <c r="Q406" s="91"/>
      <c r="R406" s="91"/>
      <c r="S406" s="91"/>
      <c r="T406" s="91"/>
      <c r="U406" s="91"/>
      <c r="V406" s="91"/>
      <c r="W406" s="91"/>
      <c r="X406" s="333">
        <f t="shared" si="9"/>
        <v>0</v>
      </c>
      <c r="Y406" s="199">
        <f t="shared" si="10"/>
        <v>0</v>
      </c>
      <c r="Z406" s="333">
        <f t="shared" si="11"/>
        <v>493</v>
      </c>
    </row>
    <row r="407" spans="2:26" ht="14.4" outlineLevel="1" x14ac:dyDescent="0.3">
      <c r="B407" s="425">
        <f t="shared" si="12"/>
        <v>41</v>
      </c>
      <c r="C407" s="95" t="s">
        <v>498</v>
      </c>
      <c r="D407" s="474">
        <v>933.26</v>
      </c>
      <c r="E407" s="588">
        <v>0</v>
      </c>
      <c r="F407" s="586">
        <v>0</v>
      </c>
      <c r="G407" s="586">
        <v>0</v>
      </c>
      <c r="H407" s="586">
        <v>0</v>
      </c>
      <c r="I407" s="586">
        <v>0</v>
      </c>
      <c r="J407" s="586">
        <v>866</v>
      </c>
      <c r="K407" s="586">
        <v>0</v>
      </c>
      <c r="L407" s="91"/>
      <c r="M407" s="91"/>
      <c r="N407" s="91"/>
      <c r="O407" s="91"/>
      <c r="P407" s="91"/>
      <c r="Q407" s="91"/>
      <c r="R407" s="91"/>
      <c r="S407" s="91"/>
      <c r="T407" s="91"/>
      <c r="U407" s="91"/>
      <c r="V407" s="91"/>
      <c r="W407" s="91"/>
      <c r="X407" s="333">
        <f t="shared" si="9"/>
        <v>0</v>
      </c>
      <c r="Y407" s="199">
        <f t="shared" si="10"/>
        <v>0</v>
      </c>
      <c r="Z407" s="333">
        <f t="shared" si="11"/>
        <v>866</v>
      </c>
    </row>
    <row r="408" spans="2:26" ht="14.4" outlineLevel="1" x14ac:dyDescent="0.3">
      <c r="B408" s="425"/>
      <c r="C408" s="494" t="s">
        <v>1028</v>
      </c>
      <c r="D408" s="123">
        <v>301.72000000000003</v>
      </c>
      <c r="E408" s="588">
        <v>0</v>
      </c>
      <c r="F408" s="586">
        <v>0</v>
      </c>
      <c r="G408" s="586">
        <v>0</v>
      </c>
      <c r="H408" s="586">
        <v>0</v>
      </c>
      <c r="I408" s="586">
        <v>0</v>
      </c>
      <c r="J408" s="586">
        <v>0</v>
      </c>
      <c r="K408" s="586">
        <v>0</v>
      </c>
      <c r="L408" s="91"/>
      <c r="M408" s="91"/>
      <c r="N408" s="91"/>
      <c r="O408" s="91"/>
      <c r="P408" s="91"/>
      <c r="Q408" s="91"/>
      <c r="R408" s="91"/>
      <c r="S408" s="91"/>
      <c r="T408" s="91"/>
      <c r="U408" s="91"/>
      <c r="V408" s="91"/>
      <c r="W408" s="91"/>
      <c r="X408" s="333"/>
      <c r="Y408" s="199"/>
      <c r="Z408" s="333"/>
    </row>
    <row r="409" spans="2:26" ht="14.4" outlineLevel="1" x14ac:dyDescent="0.3">
      <c r="B409" s="425">
        <f>1+B407</f>
        <v>42</v>
      </c>
      <c r="C409" s="95" t="s">
        <v>500</v>
      </c>
      <c r="D409" s="123">
        <v>344.83</v>
      </c>
      <c r="E409" s="588">
        <v>0</v>
      </c>
      <c r="F409" s="586">
        <v>0</v>
      </c>
      <c r="G409" s="586">
        <v>0</v>
      </c>
      <c r="H409" s="586">
        <v>0</v>
      </c>
      <c r="I409" s="586">
        <v>0</v>
      </c>
      <c r="J409" s="586">
        <v>1858</v>
      </c>
      <c r="K409" s="586">
        <v>0</v>
      </c>
      <c r="L409" s="91"/>
      <c r="M409" s="91"/>
      <c r="N409" s="91"/>
      <c r="O409" s="91"/>
      <c r="P409" s="91"/>
      <c r="Q409" s="91"/>
      <c r="R409" s="91"/>
      <c r="S409" s="91"/>
      <c r="T409" s="91"/>
      <c r="U409" s="91"/>
      <c r="V409" s="91"/>
      <c r="W409" s="91"/>
      <c r="X409" s="333">
        <f t="shared" si="9"/>
        <v>0</v>
      </c>
      <c r="Y409" s="199">
        <f t="shared" si="10"/>
        <v>0</v>
      </c>
      <c r="Z409" s="333">
        <f t="shared" si="11"/>
        <v>1858</v>
      </c>
    </row>
    <row r="410" spans="2:26" ht="14.4" outlineLevel="1" x14ac:dyDescent="0.3">
      <c r="B410" s="425">
        <f t="shared" si="12"/>
        <v>43</v>
      </c>
      <c r="C410" s="95" t="s">
        <v>502</v>
      </c>
      <c r="D410" s="123">
        <v>387.94</v>
      </c>
      <c r="E410" s="588">
        <v>0</v>
      </c>
      <c r="F410" s="586">
        <v>0</v>
      </c>
      <c r="G410" s="586">
        <v>0</v>
      </c>
      <c r="H410" s="586">
        <v>0</v>
      </c>
      <c r="I410" s="586">
        <v>0</v>
      </c>
      <c r="J410" s="586">
        <v>1423</v>
      </c>
      <c r="K410" s="586">
        <v>0</v>
      </c>
      <c r="L410" s="91"/>
      <c r="M410" s="91"/>
      <c r="N410" s="91"/>
      <c r="O410" s="91"/>
      <c r="P410" s="91"/>
      <c r="Q410" s="91"/>
      <c r="R410" s="91"/>
      <c r="S410" s="91"/>
      <c r="T410" s="91"/>
      <c r="U410" s="91"/>
      <c r="V410" s="91"/>
      <c r="W410" s="91"/>
      <c r="X410" s="333">
        <f t="shared" si="9"/>
        <v>0</v>
      </c>
      <c r="Y410" s="199">
        <f t="shared" si="10"/>
        <v>0</v>
      </c>
      <c r="Z410" s="333">
        <f t="shared" si="11"/>
        <v>1423</v>
      </c>
    </row>
    <row r="411" spans="2:26" ht="14.4" outlineLevel="1" x14ac:dyDescent="0.3">
      <c r="B411" s="425">
        <f t="shared" si="12"/>
        <v>44</v>
      </c>
      <c r="C411" s="95" t="s">
        <v>504</v>
      </c>
      <c r="D411" s="123">
        <v>431.03</v>
      </c>
      <c r="E411" s="588">
        <v>0</v>
      </c>
      <c r="F411" s="586">
        <v>0</v>
      </c>
      <c r="G411" s="586">
        <v>0</v>
      </c>
      <c r="H411" s="586">
        <v>0</v>
      </c>
      <c r="I411" s="586">
        <v>0</v>
      </c>
      <c r="J411" s="586">
        <v>1658</v>
      </c>
      <c r="K411" s="586">
        <v>0</v>
      </c>
      <c r="L411" s="91"/>
      <c r="M411" s="91"/>
      <c r="N411" s="91"/>
      <c r="O411" s="91"/>
      <c r="P411" s="91"/>
      <c r="Q411" s="91"/>
      <c r="R411" s="91"/>
      <c r="S411" s="91"/>
      <c r="T411" s="91"/>
      <c r="U411" s="91"/>
      <c r="V411" s="91"/>
      <c r="W411" s="91"/>
      <c r="X411" s="333">
        <f>E411</f>
        <v>0</v>
      </c>
      <c r="Y411" s="199">
        <f>SUM(F411:I411)</f>
        <v>0</v>
      </c>
      <c r="Z411" s="333">
        <f>J411+K411</f>
        <v>1658</v>
      </c>
    </row>
    <row r="412" spans="2:26" ht="14.4" hidden="1" outlineLevel="1" x14ac:dyDescent="0.3">
      <c r="B412" s="425">
        <f t="shared" si="12"/>
        <v>45</v>
      </c>
      <c r="C412" s="95" t="s">
        <v>456</v>
      </c>
      <c r="D412" s="474"/>
      <c r="E412" s="474"/>
      <c r="F412" s="91"/>
      <c r="G412" s="91"/>
      <c r="H412" s="91"/>
      <c r="I412" s="91"/>
      <c r="J412" s="91"/>
      <c r="K412" s="91"/>
      <c r="L412" s="91"/>
      <c r="M412" s="91"/>
      <c r="N412" s="91"/>
      <c r="O412" s="91"/>
      <c r="P412" s="91"/>
      <c r="Q412" s="91"/>
      <c r="R412" s="91"/>
      <c r="S412" s="91"/>
      <c r="T412" s="91"/>
      <c r="U412" s="91"/>
      <c r="V412" s="91"/>
      <c r="W412" s="91"/>
    </row>
    <row r="413" spans="2:26" ht="14.4" hidden="1" outlineLevel="1" x14ac:dyDescent="0.3">
      <c r="B413" s="425">
        <f t="shared" si="12"/>
        <v>46</v>
      </c>
      <c r="C413" s="95" t="s">
        <v>456</v>
      </c>
      <c r="D413" s="474"/>
      <c r="E413" s="474"/>
      <c r="F413" s="91"/>
      <c r="G413" s="91"/>
      <c r="H413" s="91"/>
      <c r="I413" s="91"/>
      <c r="J413" s="91"/>
      <c r="K413" s="91"/>
      <c r="L413" s="91"/>
      <c r="M413" s="91"/>
      <c r="N413" s="91"/>
      <c r="O413" s="91"/>
      <c r="P413" s="91"/>
      <c r="Q413" s="91"/>
      <c r="R413" s="91"/>
      <c r="S413" s="91"/>
      <c r="T413" s="91"/>
      <c r="U413" s="91"/>
      <c r="V413" s="91"/>
      <c r="W413" s="91"/>
    </row>
    <row r="414" spans="2:26" ht="14.4" hidden="1" outlineLevel="1" x14ac:dyDescent="0.3">
      <c r="B414" s="425">
        <f t="shared" si="12"/>
        <v>47</v>
      </c>
      <c r="C414" s="95" t="s">
        <v>456</v>
      </c>
      <c r="D414" s="474"/>
      <c r="E414" s="474"/>
      <c r="F414" s="91"/>
      <c r="G414" s="91"/>
      <c r="H414" s="91"/>
      <c r="I414" s="91"/>
      <c r="J414" s="91"/>
      <c r="K414" s="91"/>
      <c r="L414" s="91"/>
      <c r="M414" s="91"/>
      <c r="N414" s="91"/>
      <c r="O414" s="91"/>
      <c r="P414" s="91"/>
      <c r="Q414" s="91"/>
      <c r="R414" s="91"/>
      <c r="S414" s="91"/>
      <c r="T414" s="91"/>
      <c r="U414" s="91"/>
      <c r="V414" s="91"/>
      <c r="W414" s="91"/>
    </row>
    <row r="415" spans="2:26" ht="14.4" hidden="1" outlineLevel="1" x14ac:dyDescent="0.3">
      <c r="B415" s="425">
        <f t="shared" si="12"/>
        <v>48</v>
      </c>
      <c r="C415" s="95" t="s">
        <v>456</v>
      </c>
      <c r="D415" s="474"/>
      <c r="E415" s="474"/>
      <c r="F415" s="91"/>
      <c r="G415" s="91"/>
      <c r="H415" s="91"/>
      <c r="I415" s="91"/>
      <c r="J415" s="91"/>
      <c r="K415" s="91"/>
      <c r="L415" s="91"/>
      <c r="M415" s="91"/>
      <c r="N415" s="91"/>
      <c r="O415" s="91"/>
      <c r="P415" s="91"/>
      <c r="Q415" s="91"/>
      <c r="R415" s="91"/>
      <c r="S415" s="91"/>
      <c r="T415" s="91"/>
      <c r="U415" s="91"/>
      <c r="V415" s="91"/>
      <c r="W415" s="91"/>
    </row>
    <row r="416" spans="2:26" ht="14.4" hidden="1" outlineLevel="1" x14ac:dyDescent="0.3">
      <c r="B416" s="425">
        <f t="shared" si="12"/>
        <v>49</v>
      </c>
      <c r="C416" s="95" t="s">
        <v>456</v>
      </c>
      <c r="D416" s="474"/>
      <c r="E416" s="474"/>
      <c r="F416" s="91"/>
      <c r="G416" s="91"/>
      <c r="H416" s="91"/>
      <c r="I416" s="91"/>
      <c r="J416" s="91"/>
      <c r="K416" s="91"/>
      <c r="L416" s="91"/>
      <c r="M416" s="91"/>
      <c r="N416" s="91"/>
      <c r="O416" s="91"/>
      <c r="P416" s="91"/>
      <c r="Q416" s="91"/>
      <c r="R416" s="91"/>
      <c r="S416" s="91"/>
      <c r="T416" s="91"/>
      <c r="U416" s="91"/>
      <c r="V416" s="91"/>
      <c r="W416" s="91"/>
    </row>
    <row r="417" spans="2:23" ht="14.4" hidden="1" outlineLevel="1" x14ac:dyDescent="0.3">
      <c r="B417" s="425">
        <f t="shared" si="12"/>
        <v>50</v>
      </c>
      <c r="C417" s="95" t="s">
        <v>456</v>
      </c>
      <c r="D417" s="474"/>
      <c r="E417" s="474"/>
      <c r="F417" s="91"/>
      <c r="G417" s="91"/>
      <c r="H417" s="91"/>
      <c r="I417" s="91"/>
      <c r="J417" s="91"/>
      <c r="K417" s="91"/>
      <c r="L417" s="91"/>
      <c r="M417" s="91"/>
      <c r="N417" s="91"/>
      <c r="O417" s="91"/>
      <c r="P417" s="91"/>
      <c r="Q417" s="91"/>
      <c r="R417" s="91"/>
      <c r="S417" s="91"/>
      <c r="T417" s="91"/>
      <c r="U417" s="91"/>
      <c r="V417" s="91"/>
      <c r="W417" s="91"/>
    </row>
    <row r="418" spans="2:23" ht="14.4" hidden="1" outlineLevel="1" x14ac:dyDescent="0.3">
      <c r="B418" s="425">
        <f t="shared" si="12"/>
        <v>51</v>
      </c>
      <c r="C418" s="95" t="s">
        <v>456</v>
      </c>
      <c r="D418" s="474"/>
      <c r="E418" s="474"/>
      <c r="F418" s="91"/>
      <c r="G418" s="91"/>
      <c r="H418" s="91"/>
      <c r="I418" s="91"/>
      <c r="J418" s="91"/>
      <c r="K418" s="91"/>
      <c r="L418" s="91"/>
      <c r="M418" s="91"/>
      <c r="N418" s="91"/>
      <c r="O418" s="91"/>
      <c r="P418" s="91"/>
      <c r="Q418" s="91"/>
      <c r="R418" s="91"/>
      <c r="S418" s="91"/>
      <c r="T418" s="91"/>
      <c r="U418" s="91"/>
      <c r="V418" s="91"/>
      <c r="W418" s="91"/>
    </row>
    <row r="419" spans="2:23" ht="14.4" hidden="1" outlineLevel="1" x14ac:dyDescent="0.3">
      <c r="B419" s="425">
        <f t="shared" si="12"/>
        <v>52</v>
      </c>
      <c r="C419" s="95" t="s">
        <v>456</v>
      </c>
      <c r="D419" s="474"/>
      <c r="E419" s="474"/>
      <c r="F419" s="91"/>
      <c r="G419" s="91"/>
      <c r="H419" s="91"/>
      <c r="I419" s="91"/>
      <c r="J419" s="91"/>
      <c r="K419" s="91"/>
      <c r="L419" s="91"/>
      <c r="M419" s="91"/>
      <c r="N419" s="91"/>
      <c r="O419" s="91"/>
      <c r="P419" s="91"/>
      <c r="Q419" s="91"/>
      <c r="R419" s="91"/>
      <c r="S419" s="91"/>
      <c r="T419" s="91"/>
      <c r="U419" s="91"/>
      <c r="V419" s="91"/>
      <c r="W419" s="91"/>
    </row>
    <row r="420" spans="2:23" ht="14.4" hidden="1" outlineLevel="1" x14ac:dyDescent="0.3">
      <c r="B420" s="425">
        <f t="shared" si="12"/>
        <v>53</v>
      </c>
      <c r="C420" s="95" t="s">
        <v>456</v>
      </c>
      <c r="D420" s="474"/>
      <c r="E420" s="474"/>
      <c r="F420" s="91"/>
      <c r="G420" s="91"/>
      <c r="H420" s="91"/>
      <c r="I420" s="91"/>
      <c r="J420" s="91"/>
      <c r="K420" s="91"/>
      <c r="L420" s="91"/>
      <c r="M420" s="91"/>
      <c r="N420" s="91"/>
      <c r="O420" s="91"/>
      <c r="P420" s="91"/>
      <c r="Q420" s="91"/>
      <c r="R420" s="91"/>
      <c r="S420" s="91"/>
      <c r="T420" s="91"/>
      <c r="U420" s="91"/>
      <c r="V420" s="91"/>
      <c r="W420" s="91"/>
    </row>
    <row r="421" spans="2:23" ht="14.4" hidden="1" outlineLevel="1" x14ac:dyDescent="0.3">
      <c r="B421" s="425">
        <f t="shared" si="12"/>
        <v>54</v>
      </c>
      <c r="C421" s="95" t="s">
        <v>456</v>
      </c>
      <c r="D421" s="474"/>
      <c r="E421" s="474"/>
      <c r="F421" s="91"/>
      <c r="G421" s="91"/>
      <c r="H421" s="91"/>
      <c r="I421" s="91"/>
      <c r="J421" s="91"/>
      <c r="K421" s="91"/>
      <c r="L421" s="91"/>
      <c r="M421" s="91"/>
      <c r="N421" s="91"/>
      <c r="O421" s="91"/>
      <c r="P421" s="91"/>
      <c r="Q421" s="91"/>
      <c r="R421" s="91"/>
      <c r="S421" s="91"/>
      <c r="T421" s="91"/>
      <c r="U421" s="91"/>
      <c r="V421" s="91"/>
      <c r="W421" s="91"/>
    </row>
    <row r="422" spans="2:23" ht="14.4" hidden="1" outlineLevel="1" x14ac:dyDescent="0.3">
      <c r="B422" s="425">
        <f t="shared" si="12"/>
        <v>55</v>
      </c>
      <c r="C422" s="95" t="s">
        <v>456</v>
      </c>
      <c r="D422" s="474"/>
      <c r="E422" s="474"/>
      <c r="F422" s="91"/>
      <c r="G422" s="91"/>
      <c r="H422" s="91"/>
      <c r="I422" s="91"/>
      <c r="J422" s="91"/>
      <c r="K422" s="91"/>
      <c r="L422" s="91"/>
      <c r="M422" s="91"/>
      <c r="N422" s="91"/>
      <c r="O422" s="91"/>
      <c r="P422" s="91"/>
      <c r="Q422" s="91"/>
      <c r="R422" s="91"/>
      <c r="S422" s="91"/>
      <c r="T422" s="91"/>
      <c r="U422" s="91"/>
      <c r="V422" s="91"/>
      <c r="W422" s="91"/>
    </row>
    <row r="423" spans="2:23" ht="14.4" hidden="1" outlineLevel="1" x14ac:dyDescent="0.3">
      <c r="B423" s="425">
        <f t="shared" si="12"/>
        <v>56</v>
      </c>
      <c r="C423" s="95" t="s">
        <v>456</v>
      </c>
      <c r="D423" s="474"/>
      <c r="E423" s="474"/>
      <c r="F423" s="91"/>
      <c r="G423" s="91"/>
      <c r="H423" s="91"/>
      <c r="I423" s="91"/>
      <c r="J423" s="91"/>
      <c r="K423" s="91"/>
      <c r="L423" s="91"/>
      <c r="M423" s="91"/>
      <c r="N423" s="91"/>
      <c r="O423" s="91"/>
      <c r="P423" s="91"/>
      <c r="Q423" s="91"/>
      <c r="R423" s="91"/>
      <c r="S423" s="91"/>
      <c r="T423" s="91"/>
      <c r="U423" s="91"/>
      <c r="V423" s="91"/>
      <c r="W423" s="91"/>
    </row>
    <row r="424" spans="2:23" ht="14.4" hidden="1" outlineLevel="1" x14ac:dyDescent="0.3">
      <c r="B424" s="425">
        <f t="shared" si="12"/>
        <v>57</v>
      </c>
      <c r="C424" s="95" t="s">
        <v>456</v>
      </c>
      <c r="D424" s="474"/>
      <c r="E424" s="474"/>
      <c r="F424" s="91"/>
      <c r="G424" s="91"/>
      <c r="H424" s="91"/>
      <c r="I424" s="91"/>
      <c r="J424" s="91"/>
      <c r="K424" s="91"/>
      <c r="L424" s="91"/>
      <c r="M424" s="91"/>
      <c r="N424" s="91"/>
      <c r="O424" s="91"/>
      <c r="P424" s="91"/>
      <c r="Q424" s="91"/>
      <c r="R424" s="91"/>
      <c r="S424" s="91"/>
      <c r="T424" s="91"/>
      <c r="U424" s="91"/>
      <c r="V424" s="91"/>
      <c r="W424" s="91"/>
    </row>
    <row r="425" spans="2:23" ht="14.4" hidden="1" outlineLevel="1" x14ac:dyDescent="0.3">
      <c r="B425" s="425">
        <f t="shared" si="12"/>
        <v>58</v>
      </c>
      <c r="C425" s="95" t="s">
        <v>456</v>
      </c>
      <c r="D425" s="474"/>
      <c r="E425" s="474"/>
      <c r="F425" s="91"/>
      <c r="G425" s="91"/>
      <c r="H425" s="91"/>
      <c r="I425" s="91"/>
      <c r="J425" s="91"/>
      <c r="K425" s="91"/>
      <c r="L425" s="91"/>
      <c r="M425" s="91"/>
      <c r="N425" s="91"/>
      <c r="O425" s="91"/>
      <c r="P425" s="91"/>
      <c r="Q425" s="91"/>
      <c r="R425" s="91"/>
      <c r="S425" s="91"/>
      <c r="T425" s="91"/>
      <c r="U425" s="91"/>
      <c r="V425" s="91"/>
      <c r="W425" s="91"/>
    </row>
    <row r="426" spans="2:23" ht="14.4" hidden="1" outlineLevel="1" x14ac:dyDescent="0.3">
      <c r="B426" s="425">
        <f t="shared" si="12"/>
        <v>59</v>
      </c>
      <c r="C426" s="95" t="s">
        <v>456</v>
      </c>
      <c r="D426" s="474"/>
      <c r="E426" s="474"/>
      <c r="F426" s="91"/>
      <c r="G426" s="91"/>
      <c r="H426" s="91"/>
      <c r="I426" s="91"/>
      <c r="J426" s="91"/>
      <c r="K426" s="91"/>
      <c r="L426" s="91"/>
      <c r="M426" s="91"/>
      <c r="N426" s="91"/>
      <c r="O426" s="91"/>
      <c r="P426" s="91"/>
      <c r="Q426" s="91"/>
      <c r="R426" s="91"/>
      <c r="S426" s="91"/>
      <c r="T426" s="91"/>
      <c r="U426" s="91"/>
      <c r="V426" s="91"/>
      <c r="W426" s="91"/>
    </row>
    <row r="427" spans="2:23" ht="14.4" hidden="1" outlineLevel="1" x14ac:dyDescent="0.3">
      <c r="B427" s="425">
        <f t="shared" si="12"/>
        <v>60</v>
      </c>
      <c r="C427" s="95" t="s">
        <v>456</v>
      </c>
      <c r="D427" s="474"/>
      <c r="E427" s="474"/>
      <c r="F427" s="91"/>
      <c r="G427" s="91"/>
      <c r="H427" s="91"/>
      <c r="I427" s="91"/>
      <c r="J427" s="91"/>
      <c r="K427" s="91"/>
      <c r="L427" s="91"/>
      <c r="M427" s="91"/>
      <c r="N427" s="91"/>
      <c r="O427" s="91"/>
      <c r="P427" s="91"/>
      <c r="Q427" s="91"/>
      <c r="R427" s="91"/>
      <c r="S427" s="91"/>
      <c r="T427" s="91"/>
      <c r="U427" s="91"/>
      <c r="V427" s="91"/>
      <c r="W427" s="91"/>
    </row>
    <row r="428" spans="2:23" ht="14.4" hidden="1" outlineLevel="1" x14ac:dyDescent="0.3">
      <c r="B428" s="425">
        <f t="shared" si="12"/>
        <v>61</v>
      </c>
      <c r="C428" s="95" t="s">
        <v>456</v>
      </c>
      <c r="D428" s="474"/>
      <c r="E428" s="474"/>
      <c r="F428" s="91"/>
      <c r="G428" s="91"/>
      <c r="H428" s="91"/>
      <c r="I428" s="91"/>
      <c r="J428" s="91"/>
      <c r="K428" s="91"/>
      <c r="L428" s="91"/>
      <c r="M428" s="91"/>
      <c r="N428" s="91"/>
      <c r="O428" s="91"/>
      <c r="P428" s="91"/>
      <c r="Q428" s="91"/>
      <c r="R428" s="91"/>
      <c r="S428" s="91"/>
      <c r="T428" s="91"/>
      <c r="U428" s="91"/>
      <c r="V428" s="91"/>
      <c r="W428" s="91"/>
    </row>
    <row r="429" spans="2:23" ht="14.4" hidden="1" outlineLevel="1" x14ac:dyDescent="0.3">
      <c r="B429" s="425">
        <f t="shared" si="12"/>
        <v>62</v>
      </c>
      <c r="C429" s="95" t="s">
        <v>456</v>
      </c>
      <c r="D429" s="474"/>
      <c r="E429" s="474"/>
      <c r="F429" s="91"/>
      <c r="G429" s="91"/>
      <c r="H429" s="91"/>
      <c r="I429" s="91"/>
      <c r="J429" s="91"/>
      <c r="K429" s="91"/>
      <c r="L429" s="91"/>
      <c r="M429" s="91"/>
      <c r="N429" s="91"/>
      <c r="O429" s="91"/>
      <c r="P429" s="91"/>
      <c r="Q429" s="91"/>
      <c r="R429" s="91"/>
      <c r="S429" s="91"/>
      <c r="T429" s="91"/>
      <c r="U429" s="91"/>
      <c r="V429" s="91"/>
      <c r="W429" s="91"/>
    </row>
    <row r="430" spans="2:23" ht="14.4" hidden="1" outlineLevel="1" x14ac:dyDescent="0.3">
      <c r="B430" s="425">
        <f t="shared" si="12"/>
        <v>63</v>
      </c>
      <c r="C430" s="95" t="s">
        <v>456</v>
      </c>
      <c r="D430" s="474"/>
      <c r="E430" s="474"/>
      <c r="F430" s="91"/>
      <c r="G430" s="91"/>
      <c r="H430" s="91"/>
      <c r="I430" s="91"/>
      <c r="J430" s="91"/>
      <c r="K430" s="91"/>
      <c r="L430" s="91"/>
      <c r="M430" s="91"/>
      <c r="N430" s="91"/>
      <c r="O430" s="91"/>
      <c r="P430" s="91"/>
      <c r="Q430" s="91"/>
      <c r="R430" s="91"/>
      <c r="S430" s="91"/>
      <c r="T430" s="91"/>
      <c r="U430" s="91"/>
      <c r="V430" s="91"/>
      <c r="W430" s="91"/>
    </row>
    <row r="431" spans="2:23" ht="14.4" hidden="1" outlineLevel="1" x14ac:dyDescent="0.3">
      <c r="B431" s="425">
        <f t="shared" si="12"/>
        <v>64</v>
      </c>
      <c r="C431" s="95" t="s">
        <v>456</v>
      </c>
      <c r="D431" s="474"/>
      <c r="E431" s="474"/>
      <c r="F431" s="91"/>
      <c r="G431" s="91"/>
      <c r="H431" s="91"/>
      <c r="I431" s="91"/>
      <c r="J431" s="91"/>
      <c r="K431" s="91"/>
      <c r="L431" s="91"/>
      <c r="M431" s="91"/>
      <c r="N431" s="91"/>
      <c r="O431" s="91"/>
      <c r="P431" s="91"/>
      <c r="Q431" s="91"/>
      <c r="R431" s="91"/>
      <c r="S431" s="91"/>
      <c r="T431" s="91"/>
      <c r="U431" s="91"/>
      <c r="V431" s="91"/>
      <c r="W431" s="91"/>
    </row>
    <row r="432" spans="2:23" ht="14.4" hidden="1" outlineLevel="1" x14ac:dyDescent="0.3">
      <c r="B432" s="425">
        <f t="shared" si="12"/>
        <v>65</v>
      </c>
      <c r="C432" s="95" t="s">
        <v>456</v>
      </c>
      <c r="D432" s="474"/>
      <c r="E432" s="474"/>
      <c r="F432" s="91"/>
      <c r="G432" s="91"/>
      <c r="H432" s="91"/>
      <c r="I432" s="91"/>
      <c r="J432" s="91"/>
      <c r="K432" s="91"/>
      <c r="L432" s="91"/>
      <c r="M432" s="91"/>
      <c r="N432" s="91"/>
      <c r="O432" s="91"/>
      <c r="P432" s="91"/>
      <c r="Q432" s="91"/>
      <c r="R432" s="91"/>
      <c r="S432" s="91"/>
      <c r="T432" s="91"/>
      <c r="U432" s="91"/>
      <c r="V432" s="91"/>
      <c r="W432" s="91"/>
    </row>
    <row r="433" spans="2:23" ht="14.4" hidden="1" outlineLevel="1" x14ac:dyDescent="0.3">
      <c r="B433" s="425">
        <f t="shared" si="12"/>
        <v>66</v>
      </c>
      <c r="C433" s="95" t="s">
        <v>456</v>
      </c>
      <c r="D433" s="474"/>
      <c r="E433" s="474"/>
      <c r="F433" s="91"/>
      <c r="G433" s="91"/>
      <c r="H433" s="91"/>
      <c r="I433" s="91"/>
      <c r="J433" s="91"/>
      <c r="K433" s="91"/>
      <c r="L433" s="91"/>
      <c r="M433" s="91"/>
      <c r="N433" s="91"/>
      <c r="O433" s="91"/>
      <c r="P433" s="91"/>
      <c r="Q433" s="91"/>
      <c r="R433" s="91"/>
      <c r="S433" s="91"/>
      <c r="T433" s="91"/>
      <c r="U433" s="91"/>
      <c r="V433" s="91"/>
      <c r="W433" s="91"/>
    </row>
    <row r="434" spans="2:23" ht="14.4" hidden="1" outlineLevel="1" x14ac:dyDescent="0.3">
      <c r="B434" s="425">
        <f t="shared" ref="B434:B447" si="13">1+B433</f>
        <v>67</v>
      </c>
      <c r="C434" s="95" t="s">
        <v>456</v>
      </c>
      <c r="D434" s="474"/>
      <c r="E434" s="474"/>
      <c r="F434" s="91"/>
      <c r="G434" s="91"/>
      <c r="H434" s="91"/>
      <c r="I434" s="91"/>
      <c r="J434" s="91"/>
      <c r="K434" s="91"/>
      <c r="L434" s="91"/>
      <c r="M434" s="91"/>
      <c r="N434" s="91"/>
      <c r="O434" s="91"/>
      <c r="P434" s="91"/>
      <c r="Q434" s="91"/>
      <c r="R434" s="91"/>
      <c r="S434" s="91"/>
      <c r="T434" s="91"/>
      <c r="U434" s="91"/>
      <c r="V434" s="91"/>
      <c r="W434" s="91"/>
    </row>
    <row r="435" spans="2:23" ht="14.4" hidden="1" outlineLevel="1" x14ac:dyDescent="0.3">
      <c r="B435" s="425">
        <f t="shared" si="13"/>
        <v>68</v>
      </c>
      <c r="C435" s="95" t="s">
        <v>456</v>
      </c>
      <c r="D435" s="474"/>
      <c r="E435" s="474"/>
      <c r="F435" s="91"/>
      <c r="G435" s="91"/>
      <c r="H435" s="91"/>
      <c r="I435" s="91"/>
      <c r="J435" s="91"/>
      <c r="K435" s="91"/>
      <c r="L435" s="91"/>
      <c r="M435" s="91"/>
      <c r="N435" s="91"/>
      <c r="O435" s="91"/>
      <c r="P435" s="91"/>
      <c r="Q435" s="91"/>
      <c r="R435" s="91"/>
      <c r="S435" s="91"/>
      <c r="T435" s="91"/>
      <c r="U435" s="91"/>
      <c r="V435" s="91"/>
      <c r="W435" s="91"/>
    </row>
    <row r="436" spans="2:23" ht="14.4" hidden="1" outlineLevel="1" x14ac:dyDescent="0.3">
      <c r="B436" s="425">
        <f t="shared" si="13"/>
        <v>69</v>
      </c>
      <c r="C436" s="95" t="s">
        <v>456</v>
      </c>
      <c r="D436" s="474"/>
      <c r="E436" s="474"/>
      <c r="F436" s="91"/>
      <c r="G436" s="91"/>
      <c r="H436" s="91"/>
      <c r="I436" s="91"/>
      <c r="J436" s="91"/>
      <c r="K436" s="91"/>
      <c r="L436" s="91"/>
      <c r="M436" s="91"/>
      <c r="N436" s="91"/>
      <c r="O436" s="91"/>
      <c r="P436" s="91"/>
      <c r="Q436" s="91"/>
      <c r="R436" s="91"/>
      <c r="S436" s="91"/>
      <c r="T436" s="91"/>
      <c r="U436" s="91"/>
      <c r="V436" s="91"/>
      <c r="W436" s="91"/>
    </row>
    <row r="437" spans="2:23" ht="14.4" hidden="1" outlineLevel="1" x14ac:dyDescent="0.3">
      <c r="B437" s="425">
        <f t="shared" si="13"/>
        <v>70</v>
      </c>
      <c r="C437" s="95" t="s">
        <v>456</v>
      </c>
      <c r="D437" s="474"/>
      <c r="E437" s="474"/>
      <c r="F437" s="91"/>
      <c r="G437" s="91"/>
      <c r="H437" s="91"/>
      <c r="I437" s="91"/>
      <c r="J437" s="91"/>
      <c r="K437" s="91"/>
      <c r="L437" s="91"/>
      <c r="M437" s="91"/>
      <c r="N437" s="91"/>
      <c r="O437" s="91"/>
      <c r="P437" s="91"/>
      <c r="Q437" s="91"/>
      <c r="R437" s="91"/>
      <c r="S437" s="91"/>
      <c r="T437" s="91"/>
      <c r="U437" s="91"/>
      <c r="V437" s="91"/>
      <c r="W437" s="91"/>
    </row>
    <row r="438" spans="2:23" ht="14.4" hidden="1" outlineLevel="1" x14ac:dyDescent="0.3">
      <c r="B438" s="425">
        <f t="shared" si="13"/>
        <v>71</v>
      </c>
      <c r="C438" s="95" t="s">
        <v>456</v>
      </c>
      <c r="D438" s="474"/>
      <c r="E438" s="474"/>
      <c r="F438" s="91"/>
      <c r="G438" s="91"/>
      <c r="H438" s="91"/>
      <c r="I438" s="91"/>
      <c r="J438" s="91"/>
      <c r="K438" s="91"/>
      <c r="L438" s="91"/>
      <c r="M438" s="91"/>
      <c r="N438" s="91"/>
      <c r="O438" s="91"/>
      <c r="P438" s="91"/>
      <c r="Q438" s="91"/>
      <c r="R438" s="91"/>
      <c r="S438" s="91"/>
      <c r="T438" s="91"/>
      <c r="U438" s="91"/>
      <c r="V438" s="91"/>
      <c r="W438" s="91"/>
    </row>
    <row r="439" spans="2:23" ht="14.4" hidden="1" outlineLevel="1" x14ac:dyDescent="0.3">
      <c r="B439" s="425">
        <f t="shared" si="13"/>
        <v>72</v>
      </c>
      <c r="C439" s="95" t="s">
        <v>456</v>
      </c>
      <c r="D439" s="474"/>
      <c r="E439" s="474"/>
      <c r="F439" s="91"/>
      <c r="G439" s="91"/>
      <c r="H439" s="91"/>
      <c r="I439" s="91"/>
      <c r="J439" s="91"/>
      <c r="K439" s="91"/>
      <c r="L439" s="91"/>
      <c r="M439" s="91"/>
      <c r="N439" s="91"/>
      <c r="O439" s="91"/>
      <c r="P439" s="91"/>
      <c r="Q439" s="91"/>
      <c r="R439" s="91"/>
      <c r="S439" s="91"/>
      <c r="T439" s="91"/>
      <c r="U439" s="91"/>
      <c r="V439" s="91"/>
      <c r="W439" s="91"/>
    </row>
    <row r="440" spans="2:23" ht="14.4" hidden="1" outlineLevel="1" x14ac:dyDescent="0.3">
      <c r="B440" s="425">
        <f t="shared" si="13"/>
        <v>73</v>
      </c>
      <c r="C440" s="95" t="s">
        <v>456</v>
      </c>
      <c r="D440" s="474"/>
      <c r="E440" s="474"/>
      <c r="F440" s="91"/>
      <c r="G440" s="91"/>
      <c r="H440" s="91"/>
      <c r="I440" s="91"/>
      <c r="J440" s="91"/>
      <c r="K440" s="91"/>
      <c r="L440" s="91"/>
      <c r="M440" s="91"/>
      <c r="N440" s="91"/>
      <c r="O440" s="91"/>
      <c r="P440" s="91"/>
      <c r="Q440" s="91"/>
      <c r="R440" s="91"/>
      <c r="S440" s="91"/>
      <c r="T440" s="91"/>
      <c r="U440" s="91"/>
      <c r="V440" s="91"/>
      <c r="W440" s="91"/>
    </row>
    <row r="441" spans="2:23" ht="14.4" hidden="1" outlineLevel="1" x14ac:dyDescent="0.3">
      <c r="B441" s="425">
        <f t="shared" si="13"/>
        <v>74</v>
      </c>
      <c r="C441" s="95" t="s">
        <v>456</v>
      </c>
      <c r="D441" s="474"/>
      <c r="E441" s="474"/>
      <c r="F441" s="91"/>
      <c r="G441" s="91"/>
      <c r="H441" s="91"/>
      <c r="I441" s="91"/>
      <c r="J441" s="91"/>
      <c r="K441" s="91"/>
      <c r="L441" s="91"/>
      <c r="M441" s="91"/>
      <c r="N441" s="91"/>
      <c r="O441" s="91"/>
      <c r="P441" s="91"/>
      <c r="Q441" s="91"/>
      <c r="R441" s="91"/>
      <c r="S441" s="91"/>
      <c r="T441" s="91"/>
      <c r="U441" s="91"/>
      <c r="V441" s="91"/>
      <c r="W441" s="91"/>
    </row>
    <row r="442" spans="2:23" ht="14.4" hidden="1" outlineLevel="1" x14ac:dyDescent="0.3">
      <c r="B442" s="425">
        <f t="shared" si="13"/>
        <v>75</v>
      </c>
      <c r="C442" s="95" t="s">
        <v>456</v>
      </c>
      <c r="D442" s="474"/>
      <c r="E442" s="474"/>
      <c r="F442" s="91"/>
      <c r="G442" s="91"/>
      <c r="H442" s="91"/>
      <c r="I442" s="91"/>
      <c r="J442" s="91"/>
      <c r="K442" s="91"/>
      <c r="L442" s="91"/>
      <c r="M442" s="91"/>
      <c r="N442" s="91"/>
      <c r="O442" s="91"/>
      <c r="P442" s="91"/>
      <c r="Q442" s="91"/>
      <c r="R442" s="91"/>
      <c r="S442" s="91"/>
      <c r="T442" s="91"/>
      <c r="U442" s="91"/>
      <c r="V442" s="91"/>
      <c r="W442" s="91"/>
    </row>
    <row r="443" spans="2:23" ht="14.4" hidden="1" outlineLevel="1" x14ac:dyDescent="0.3">
      <c r="B443" s="425">
        <f t="shared" si="13"/>
        <v>76</v>
      </c>
      <c r="C443" s="95" t="s">
        <v>456</v>
      </c>
      <c r="D443" s="474"/>
      <c r="E443" s="474"/>
      <c r="F443" s="91"/>
      <c r="G443" s="91"/>
      <c r="H443" s="91"/>
      <c r="I443" s="91"/>
      <c r="J443" s="91"/>
      <c r="K443" s="91"/>
      <c r="L443" s="91"/>
      <c r="M443" s="91"/>
      <c r="N443" s="91"/>
      <c r="O443" s="91"/>
      <c r="P443" s="91"/>
      <c r="Q443" s="91"/>
      <c r="R443" s="91"/>
      <c r="S443" s="91"/>
      <c r="T443" s="91"/>
      <c r="U443" s="91"/>
      <c r="V443" s="91"/>
      <c r="W443" s="91"/>
    </row>
    <row r="444" spans="2:23" ht="14.4" hidden="1" outlineLevel="1" x14ac:dyDescent="0.3">
      <c r="B444" s="425">
        <f t="shared" si="13"/>
        <v>77</v>
      </c>
      <c r="C444" s="95" t="s">
        <v>456</v>
      </c>
      <c r="D444" s="474"/>
      <c r="E444" s="474"/>
      <c r="F444" s="91"/>
      <c r="G444" s="91"/>
      <c r="H444" s="91"/>
      <c r="I444" s="91"/>
      <c r="J444" s="91"/>
      <c r="K444" s="91"/>
      <c r="L444" s="91"/>
      <c r="M444" s="91"/>
      <c r="N444" s="91"/>
      <c r="O444" s="91"/>
      <c r="P444" s="91"/>
      <c r="Q444" s="91"/>
      <c r="R444" s="91"/>
      <c r="S444" s="91"/>
      <c r="T444" s="91"/>
      <c r="U444" s="91"/>
      <c r="V444" s="91"/>
      <c r="W444" s="91"/>
    </row>
    <row r="445" spans="2:23" ht="14.4" hidden="1" outlineLevel="1" x14ac:dyDescent="0.3">
      <c r="B445" s="425">
        <f t="shared" si="13"/>
        <v>78</v>
      </c>
      <c r="C445" s="95" t="s">
        <v>456</v>
      </c>
      <c r="D445" s="474"/>
      <c r="E445" s="474"/>
      <c r="F445" s="91"/>
      <c r="G445" s="91"/>
      <c r="H445" s="91"/>
      <c r="I445" s="91"/>
      <c r="J445" s="91"/>
      <c r="K445" s="91"/>
      <c r="L445" s="91"/>
      <c r="M445" s="91"/>
      <c r="N445" s="91"/>
      <c r="O445" s="91"/>
      <c r="P445" s="91"/>
      <c r="Q445" s="91"/>
      <c r="R445" s="91"/>
      <c r="S445" s="91"/>
      <c r="T445" s="91"/>
      <c r="U445" s="91"/>
      <c r="V445" s="91"/>
      <c r="W445" s="91"/>
    </row>
    <row r="446" spans="2:23" ht="14.4" hidden="1" outlineLevel="1" x14ac:dyDescent="0.3">
      <c r="B446" s="425">
        <f t="shared" si="13"/>
        <v>79</v>
      </c>
      <c r="C446" s="95" t="s">
        <v>456</v>
      </c>
      <c r="D446" s="474"/>
      <c r="E446" s="474"/>
      <c r="F446" s="91"/>
      <c r="G446" s="91"/>
      <c r="H446" s="91"/>
      <c r="I446" s="91"/>
      <c r="J446" s="91"/>
      <c r="K446" s="91"/>
      <c r="L446" s="91"/>
      <c r="M446" s="91"/>
      <c r="N446" s="91"/>
      <c r="O446" s="91"/>
      <c r="P446" s="91"/>
      <c r="Q446" s="91"/>
      <c r="R446" s="91"/>
      <c r="S446" s="91"/>
      <c r="T446" s="91"/>
      <c r="U446" s="91"/>
      <c r="V446" s="91"/>
      <c r="W446" s="91"/>
    </row>
    <row r="447" spans="2:23" ht="14.4" hidden="1" x14ac:dyDescent="0.3">
      <c r="B447" s="425">
        <f t="shared" si="13"/>
        <v>80</v>
      </c>
      <c r="C447" s="95" t="s">
        <v>456</v>
      </c>
      <c r="D447" s="474"/>
      <c r="E447" s="474"/>
      <c r="F447" s="91"/>
      <c r="G447" s="91"/>
      <c r="H447" s="91"/>
      <c r="I447" s="91"/>
      <c r="J447" s="91"/>
      <c r="K447" s="91"/>
      <c r="L447" s="91"/>
      <c r="M447" s="91"/>
      <c r="N447" s="91"/>
      <c r="O447" s="91"/>
      <c r="P447" s="91"/>
      <c r="Q447" s="91"/>
      <c r="R447" s="91"/>
      <c r="S447" s="91"/>
      <c r="T447" s="91"/>
      <c r="U447" s="91"/>
      <c r="V447" s="91"/>
      <c r="W447" s="91"/>
    </row>
    <row r="449" spans="2:23" x14ac:dyDescent="0.2">
      <c r="C449" s="252" t="s">
        <v>956</v>
      </c>
    </row>
    <row r="450" spans="2:23" x14ac:dyDescent="0.2">
      <c r="C450" s="252"/>
    </row>
    <row r="451" spans="2:23" ht="15.6" x14ac:dyDescent="0.2">
      <c r="C451" s="469" t="s">
        <v>853</v>
      </c>
      <c r="D451" s="437"/>
      <c r="E451" s="437"/>
      <c r="F451" s="437"/>
      <c r="G451" s="438"/>
    </row>
    <row r="452" spans="2:23" x14ac:dyDescent="0.2">
      <c r="C452" s="252"/>
    </row>
    <row r="453" spans="2:23" ht="24" x14ac:dyDescent="0.2">
      <c r="B453" s="252"/>
      <c r="C453" s="96" t="s">
        <v>974</v>
      </c>
      <c r="E453" s="475" t="s">
        <v>975</v>
      </c>
      <c r="F453" s="570" t="s">
        <v>976</v>
      </c>
      <c r="G453" s="571"/>
      <c r="H453" s="571"/>
      <c r="I453" s="572"/>
      <c r="J453" s="573" t="s">
        <v>977</v>
      </c>
      <c r="K453" s="573"/>
      <c r="L453" s="476" t="s">
        <v>978</v>
      </c>
      <c r="M453" s="477" t="s">
        <v>1001</v>
      </c>
      <c r="N453" s="570" t="s">
        <v>979</v>
      </c>
      <c r="O453" s="571"/>
      <c r="P453" s="571"/>
      <c r="Q453" s="571"/>
      <c r="R453" s="571"/>
      <c r="S453" s="571"/>
      <c r="T453" s="571"/>
      <c r="U453" s="572"/>
      <c r="V453" s="475" t="s">
        <v>980</v>
      </c>
      <c r="W453" s="475"/>
    </row>
    <row r="454" spans="2:23" ht="60" x14ac:dyDescent="0.2">
      <c r="B454" s="252"/>
      <c r="C454" s="418" t="s">
        <v>456</v>
      </c>
      <c r="D454" s="461" t="s">
        <v>993</v>
      </c>
      <c r="E454" s="461" t="s">
        <v>975</v>
      </c>
      <c r="F454" s="461" t="s">
        <v>981</v>
      </c>
      <c r="G454" s="461" t="s">
        <v>982</v>
      </c>
      <c r="H454" s="461" t="s">
        <v>983</v>
      </c>
      <c r="I454" s="473" t="s">
        <v>984</v>
      </c>
      <c r="J454" s="418" t="s">
        <v>977</v>
      </c>
      <c r="K454" s="418" t="s">
        <v>985</v>
      </c>
      <c r="L454" s="461" t="s">
        <v>733</v>
      </c>
      <c r="M454" s="461" t="s">
        <v>1002</v>
      </c>
      <c r="N454" s="461" t="s">
        <v>986</v>
      </c>
      <c r="O454" s="461" t="s">
        <v>987</v>
      </c>
      <c r="P454" s="461" t="s">
        <v>1026</v>
      </c>
      <c r="Q454" s="461" t="s">
        <v>1027</v>
      </c>
      <c r="R454" s="461" t="s">
        <v>988</v>
      </c>
      <c r="S454" s="461" t="s">
        <v>989</v>
      </c>
      <c r="T454" s="461" t="s">
        <v>1003</v>
      </c>
      <c r="U454" s="461" t="s">
        <v>990</v>
      </c>
      <c r="V454" s="461" t="s">
        <v>991</v>
      </c>
      <c r="W454" s="461" t="s">
        <v>992</v>
      </c>
    </row>
    <row r="455" spans="2:23" ht="14.4" x14ac:dyDescent="0.3">
      <c r="B455" s="425">
        <v>1</v>
      </c>
      <c r="C455" s="95" t="s">
        <v>456</v>
      </c>
      <c r="D455" s="474"/>
      <c r="E455" s="474"/>
      <c r="F455" s="91"/>
      <c r="G455" s="91"/>
      <c r="H455" s="91"/>
      <c r="I455" s="91"/>
      <c r="J455" s="427"/>
      <c r="K455" s="427"/>
      <c r="L455" s="91"/>
      <c r="M455" s="91"/>
      <c r="N455" s="91"/>
      <c r="O455" s="91"/>
      <c r="P455" s="91"/>
      <c r="Q455" s="91"/>
      <c r="R455" s="91"/>
      <c r="S455" s="91"/>
      <c r="T455" s="91"/>
      <c r="U455" s="91"/>
      <c r="V455" s="91"/>
      <c r="W455" s="91"/>
    </row>
    <row r="456" spans="2:23" ht="14.4" x14ac:dyDescent="0.3">
      <c r="B456" s="425">
        <f>1+B455</f>
        <v>2</v>
      </c>
      <c r="C456" s="95" t="s">
        <v>456</v>
      </c>
      <c r="D456" s="474"/>
      <c r="E456" s="474"/>
      <c r="F456" s="91"/>
      <c r="G456" s="91"/>
      <c r="H456" s="91"/>
      <c r="I456" s="91"/>
      <c r="J456" s="91"/>
      <c r="K456" s="91"/>
      <c r="L456" s="91"/>
      <c r="M456" s="91"/>
      <c r="N456" s="91"/>
      <c r="O456" s="91"/>
      <c r="P456" s="91"/>
      <c r="Q456" s="91"/>
      <c r="R456" s="91"/>
      <c r="S456" s="91"/>
      <c r="T456" s="91"/>
      <c r="U456" s="91"/>
      <c r="V456" s="91"/>
      <c r="W456" s="91"/>
    </row>
    <row r="457" spans="2:23" ht="14.4" x14ac:dyDescent="0.3">
      <c r="B457" s="425">
        <f t="shared" ref="B457:B520" si="14">1+B456</f>
        <v>3</v>
      </c>
      <c r="C457" s="95" t="s">
        <v>456</v>
      </c>
      <c r="D457" s="474"/>
      <c r="E457" s="474"/>
      <c r="F457" s="91"/>
      <c r="G457" s="91"/>
      <c r="H457" s="91"/>
      <c r="I457" s="91"/>
      <c r="J457" s="91"/>
      <c r="K457" s="91"/>
      <c r="L457" s="91"/>
      <c r="M457" s="91"/>
      <c r="N457" s="91"/>
      <c r="O457" s="91"/>
      <c r="P457" s="91"/>
      <c r="Q457" s="91"/>
      <c r="R457" s="91"/>
      <c r="S457" s="91"/>
      <c r="T457" s="91"/>
      <c r="U457" s="91"/>
      <c r="V457" s="91"/>
      <c r="W457" s="91"/>
    </row>
    <row r="458" spans="2:23" ht="14.4" x14ac:dyDescent="0.3">
      <c r="B458" s="425">
        <f t="shared" si="14"/>
        <v>4</v>
      </c>
      <c r="C458" s="95" t="s">
        <v>456</v>
      </c>
      <c r="D458" s="474"/>
      <c r="E458" s="474"/>
      <c r="F458" s="91"/>
      <c r="G458" s="91"/>
      <c r="H458" s="91"/>
      <c r="I458" s="91"/>
      <c r="J458" s="91"/>
      <c r="K458" s="91"/>
      <c r="L458" s="91"/>
      <c r="M458" s="91"/>
      <c r="N458" s="91"/>
      <c r="O458" s="91"/>
      <c r="P458" s="91"/>
      <c r="Q458" s="91"/>
      <c r="R458" s="91"/>
      <c r="S458" s="91"/>
      <c r="T458" s="91"/>
      <c r="U458" s="91"/>
      <c r="V458" s="91"/>
      <c r="W458" s="91"/>
    </row>
    <row r="459" spans="2:23" ht="14.4" x14ac:dyDescent="0.3">
      <c r="B459" s="425">
        <f t="shared" si="14"/>
        <v>5</v>
      </c>
      <c r="C459" s="95" t="s">
        <v>456</v>
      </c>
      <c r="D459" s="474"/>
      <c r="E459" s="474"/>
      <c r="F459" s="91"/>
      <c r="G459" s="91"/>
      <c r="H459" s="91"/>
      <c r="I459" s="91"/>
      <c r="J459" s="91"/>
      <c r="K459" s="91"/>
      <c r="L459" s="91"/>
      <c r="M459" s="91"/>
      <c r="N459" s="91"/>
      <c r="O459" s="91"/>
      <c r="P459" s="91"/>
      <c r="Q459" s="91"/>
      <c r="R459" s="91"/>
      <c r="S459" s="91"/>
      <c r="T459" s="91"/>
      <c r="U459" s="91"/>
      <c r="V459" s="91"/>
      <c r="W459" s="91"/>
    </row>
    <row r="460" spans="2:23" ht="14.4" x14ac:dyDescent="0.3">
      <c r="B460" s="425">
        <f t="shared" si="14"/>
        <v>6</v>
      </c>
      <c r="C460" s="95" t="s">
        <v>456</v>
      </c>
      <c r="D460" s="474"/>
      <c r="E460" s="474"/>
      <c r="F460" s="91"/>
      <c r="G460" s="91"/>
      <c r="H460" s="91"/>
      <c r="I460" s="91"/>
      <c r="J460" s="91"/>
      <c r="K460" s="91"/>
      <c r="L460" s="91"/>
      <c r="M460" s="91"/>
      <c r="N460" s="91"/>
      <c r="O460" s="91"/>
      <c r="P460" s="91"/>
      <c r="Q460" s="91"/>
      <c r="R460" s="91"/>
      <c r="S460" s="91"/>
      <c r="T460" s="91"/>
      <c r="U460" s="91"/>
      <c r="V460" s="91"/>
      <c r="W460" s="91"/>
    </row>
    <row r="461" spans="2:23" ht="14.4" x14ac:dyDescent="0.3">
      <c r="B461" s="425">
        <f t="shared" si="14"/>
        <v>7</v>
      </c>
      <c r="C461" s="95" t="s">
        <v>456</v>
      </c>
      <c r="D461" s="474"/>
      <c r="E461" s="474"/>
      <c r="F461" s="91"/>
      <c r="G461" s="91"/>
      <c r="H461" s="91"/>
      <c r="I461" s="91"/>
      <c r="J461" s="91"/>
      <c r="K461" s="91"/>
      <c r="L461" s="91"/>
      <c r="M461" s="91"/>
      <c r="N461" s="91"/>
      <c r="O461" s="91"/>
      <c r="P461" s="91"/>
      <c r="Q461" s="91"/>
      <c r="R461" s="91"/>
      <c r="S461" s="91"/>
      <c r="T461" s="91"/>
      <c r="U461" s="91"/>
      <c r="V461" s="91"/>
      <c r="W461" s="91"/>
    </row>
    <row r="462" spans="2:23" ht="14.4" x14ac:dyDescent="0.3">
      <c r="B462" s="425">
        <f t="shared" si="14"/>
        <v>8</v>
      </c>
      <c r="C462" s="95" t="s">
        <v>456</v>
      </c>
      <c r="D462" s="474"/>
      <c r="E462" s="474"/>
      <c r="F462" s="91"/>
      <c r="G462" s="91"/>
      <c r="H462" s="91"/>
      <c r="I462" s="91"/>
      <c r="J462" s="91"/>
      <c r="K462" s="91"/>
      <c r="L462" s="91"/>
      <c r="M462" s="91"/>
      <c r="N462" s="91"/>
      <c r="O462" s="91"/>
      <c r="P462" s="91"/>
      <c r="Q462" s="91"/>
      <c r="R462" s="91"/>
      <c r="S462" s="91"/>
      <c r="T462" s="91"/>
      <c r="U462" s="91"/>
      <c r="V462" s="91"/>
      <c r="W462" s="91"/>
    </row>
    <row r="463" spans="2:23" ht="14.4" x14ac:dyDescent="0.3">
      <c r="B463" s="425">
        <f t="shared" si="14"/>
        <v>9</v>
      </c>
      <c r="C463" s="95" t="s">
        <v>456</v>
      </c>
      <c r="D463" s="474"/>
      <c r="E463" s="474"/>
      <c r="F463" s="91"/>
      <c r="G463" s="91"/>
      <c r="H463" s="91"/>
      <c r="I463" s="91"/>
      <c r="J463" s="91"/>
      <c r="K463" s="91"/>
      <c r="L463" s="91"/>
      <c r="M463" s="91"/>
      <c r="N463" s="91"/>
      <c r="O463" s="91"/>
      <c r="P463" s="91"/>
      <c r="Q463" s="91"/>
      <c r="R463" s="91"/>
      <c r="S463" s="91"/>
      <c r="T463" s="91"/>
      <c r="U463" s="91"/>
      <c r="V463" s="91"/>
      <c r="W463" s="91"/>
    </row>
    <row r="464" spans="2:23" ht="14.4" hidden="1" outlineLevel="1" x14ac:dyDescent="0.3">
      <c r="B464" s="425">
        <f t="shared" si="14"/>
        <v>10</v>
      </c>
      <c r="C464" s="95" t="s">
        <v>456</v>
      </c>
      <c r="D464" s="474"/>
      <c r="E464" s="474"/>
      <c r="F464" s="91"/>
      <c r="G464" s="91"/>
      <c r="H464" s="91"/>
      <c r="I464" s="91"/>
      <c r="J464" s="91"/>
      <c r="K464" s="91"/>
      <c r="L464" s="91"/>
      <c r="M464" s="91"/>
      <c r="N464" s="91"/>
      <c r="O464" s="91"/>
      <c r="P464" s="91"/>
      <c r="Q464" s="91"/>
      <c r="R464" s="91"/>
      <c r="S464" s="91"/>
      <c r="T464" s="91"/>
      <c r="U464" s="91"/>
      <c r="V464" s="91"/>
      <c r="W464" s="91"/>
    </row>
    <row r="465" spans="2:23" ht="14.4" hidden="1" outlineLevel="1" x14ac:dyDescent="0.3">
      <c r="B465" s="425">
        <f t="shared" si="14"/>
        <v>11</v>
      </c>
      <c r="C465" s="95" t="s">
        <v>456</v>
      </c>
      <c r="D465" s="474"/>
      <c r="E465" s="474"/>
      <c r="F465" s="91"/>
      <c r="G465" s="91"/>
      <c r="H465" s="91"/>
      <c r="I465" s="91"/>
      <c r="J465" s="91"/>
      <c r="K465" s="91"/>
      <c r="L465" s="91"/>
      <c r="M465" s="91"/>
      <c r="N465" s="91"/>
      <c r="O465" s="91"/>
      <c r="P465" s="91"/>
      <c r="Q465" s="91"/>
      <c r="R465" s="91"/>
      <c r="S465" s="91"/>
      <c r="T465" s="91"/>
      <c r="U465" s="91"/>
      <c r="V465" s="91"/>
      <c r="W465" s="91"/>
    </row>
    <row r="466" spans="2:23" ht="14.4" hidden="1" outlineLevel="1" x14ac:dyDescent="0.3">
      <c r="B466" s="425">
        <f t="shared" si="14"/>
        <v>12</v>
      </c>
      <c r="C466" s="95" t="s">
        <v>456</v>
      </c>
      <c r="D466" s="474"/>
      <c r="E466" s="474"/>
      <c r="F466" s="91"/>
      <c r="G466" s="91"/>
      <c r="H466" s="91"/>
      <c r="I466" s="91"/>
      <c r="J466" s="91"/>
      <c r="K466" s="91"/>
      <c r="L466" s="91"/>
      <c r="M466" s="91"/>
      <c r="N466" s="91"/>
      <c r="O466" s="91"/>
      <c r="P466" s="91"/>
      <c r="Q466" s="91"/>
      <c r="R466" s="91"/>
      <c r="S466" s="91"/>
      <c r="T466" s="91"/>
      <c r="U466" s="91"/>
      <c r="V466" s="91"/>
      <c r="W466" s="91"/>
    </row>
    <row r="467" spans="2:23" ht="14.4" hidden="1" outlineLevel="1" x14ac:dyDescent="0.3">
      <c r="B467" s="425">
        <f t="shared" si="14"/>
        <v>13</v>
      </c>
      <c r="C467" s="95" t="s">
        <v>456</v>
      </c>
      <c r="D467" s="474"/>
      <c r="E467" s="474"/>
      <c r="F467" s="91"/>
      <c r="G467" s="91"/>
      <c r="H467" s="91"/>
      <c r="I467" s="91"/>
      <c r="J467" s="91"/>
      <c r="K467" s="91"/>
      <c r="L467" s="91"/>
      <c r="M467" s="91"/>
      <c r="N467" s="91"/>
      <c r="O467" s="91"/>
      <c r="P467" s="91"/>
      <c r="Q467" s="91"/>
      <c r="R467" s="91"/>
      <c r="S467" s="91"/>
      <c r="T467" s="91"/>
      <c r="U467" s="91"/>
      <c r="V467" s="91"/>
      <c r="W467" s="91"/>
    </row>
    <row r="468" spans="2:23" ht="14.4" hidden="1" outlineLevel="1" x14ac:dyDescent="0.3">
      <c r="B468" s="425">
        <f t="shared" si="14"/>
        <v>14</v>
      </c>
      <c r="C468" s="95" t="s">
        <v>456</v>
      </c>
      <c r="D468" s="474"/>
      <c r="E468" s="474"/>
      <c r="F468" s="91"/>
      <c r="G468" s="91"/>
      <c r="H468" s="91"/>
      <c r="I468" s="91"/>
      <c r="J468" s="91"/>
      <c r="K468" s="91"/>
      <c r="L468" s="91"/>
      <c r="M468" s="91"/>
      <c r="N468" s="91"/>
      <c r="O468" s="91"/>
      <c r="P468" s="91"/>
      <c r="Q468" s="91"/>
      <c r="R468" s="91"/>
      <c r="S468" s="91"/>
      <c r="T468" s="91"/>
      <c r="U468" s="91"/>
      <c r="V468" s="91"/>
      <c r="W468" s="91"/>
    </row>
    <row r="469" spans="2:23" ht="14.4" hidden="1" outlineLevel="1" x14ac:dyDescent="0.3">
      <c r="B469" s="425">
        <f t="shared" si="14"/>
        <v>15</v>
      </c>
      <c r="C469" s="95" t="s">
        <v>456</v>
      </c>
      <c r="D469" s="474"/>
      <c r="E469" s="474"/>
      <c r="F469" s="91"/>
      <c r="G469" s="91"/>
      <c r="H469" s="91"/>
      <c r="I469" s="91"/>
      <c r="J469" s="91"/>
      <c r="K469" s="91"/>
      <c r="L469" s="91"/>
      <c r="M469" s="91"/>
      <c r="N469" s="91"/>
      <c r="O469" s="91"/>
      <c r="P469" s="91"/>
      <c r="Q469" s="91"/>
      <c r="R469" s="91"/>
      <c r="S469" s="91"/>
      <c r="T469" s="91"/>
      <c r="U469" s="91"/>
      <c r="V469" s="91"/>
      <c r="W469" s="91"/>
    </row>
    <row r="470" spans="2:23" ht="14.4" hidden="1" outlineLevel="1" x14ac:dyDescent="0.3">
      <c r="B470" s="425">
        <f t="shared" si="14"/>
        <v>16</v>
      </c>
      <c r="C470" s="95" t="s">
        <v>456</v>
      </c>
      <c r="D470" s="474"/>
      <c r="E470" s="474"/>
      <c r="F470" s="91"/>
      <c r="G470" s="91"/>
      <c r="H470" s="91"/>
      <c r="I470" s="91"/>
      <c r="J470" s="91"/>
      <c r="K470" s="91"/>
      <c r="L470" s="91"/>
      <c r="M470" s="91"/>
      <c r="N470" s="91"/>
      <c r="O470" s="91"/>
      <c r="P470" s="91"/>
      <c r="Q470" s="91"/>
      <c r="R470" s="91"/>
      <c r="S470" s="91"/>
      <c r="T470" s="91"/>
      <c r="U470" s="91"/>
      <c r="V470" s="91"/>
      <c r="W470" s="91"/>
    </row>
    <row r="471" spans="2:23" ht="14.4" hidden="1" outlineLevel="1" x14ac:dyDescent="0.3">
      <c r="B471" s="425">
        <f t="shared" si="14"/>
        <v>17</v>
      </c>
      <c r="C471" s="95" t="s">
        <v>456</v>
      </c>
      <c r="D471" s="474"/>
      <c r="E471" s="474"/>
      <c r="F471" s="91"/>
      <c r="G471" s="91"/>
      <c r="H471" s="91"/>
      <c r="I471" s="91"/>
      <c r="J471" s="91"/>
      <c r="K471" s="91"/>
      <c r="L471" s="91"/>
      <c r="M471" s="91"/>
      <c r="N471" s="91"/>
      <c r="O471" s="91"/>
      <c r="P471" s="91"/>
      <c r="Q471" s="91"/>
      <c r="R471" s="91"/>
      <c r="S471" s="91"/>
      <c r="T471" s="91"/>
      <c r="U471" s="91"/>
      <c r="V471" s="91"/>
      <c r="W471" s="91"/>
    </row>
    <row r="472" spans="2:23" ht="14.4" hidden="1" outlineLevel="1" x14ac:dyDescent="0.3">
      <c r="B472" s="425">
        <f t="shared" si="14"/>
        <v>18</v>
      </c>
      <c r="C472" s="95" t="s">
        <v>456</v>
      </c>
      <c r="D472" s="474"/>
      <c r="E472" s="474"/>
      <c r="F472" s="91"/>
      <c r="G472" s="91"/>
      <c r="H472" s="91"/>
      <c r="I472" s="91"/>
      <c r="J472" s="91"/>
      <c r="K472" s="91"/>
      <c r="L472" s="91"/>
      <c r="M472" s="91"/>
      <c r="N472" s="91"/>
      <c r="O472" s="91"/>
      <c r="P472" s="91"/>
      <c r="Q472" s="91"/>
      <c r="R472" s="91"/>
      <c r="S472" s="91"/>
      <c r="T472" s="91"/>
      <c r="U472" s="91"/>
      <c r="V472" s="91"/>
      <c r="W472" s="91"/>
    </row>
    <row r="473" spans="2:23" ht="14.4" hidden="1" outlineLevel="1" x14ac:dyDescent="0.3">
      <c r="B473" s="425">
        <f t="shared" si="14"/>
        <v>19</v>
      </c>
      <c r="C473" s="95" t="s">
        <v>456</v>
      </c>
      <c r="D473" s="474"/>
      <c r="E473" s="474"/>
      <c r="F473" s="91"/>
      <c r="G473" s="91"/>
      <c r="H473" s="91"/>
      <c r="I473" s="91"/>
      <c r="J473" s="91"/>
      <c r="K473" s="91"/>
      <c r="L473" s="91"/>
      <c r="M473" s="91"/>
      <c r="N473" s="91"/>
      <c r="O473" s="91"/>
      <c r="P473" s="91"/>
      <c r="Q473" s="91"/>
      <c r="R473" s="91"/>
      <c r="S473" s="91"/>
      <c r="T473" s="91"/>
      <c r="U473" s="91"/>
      <c r="V473" s="91"/>
      <c r="W473" s="91"/>
    </row>
    <row r="474" spans="2:23" ht="14.4" hidden="1" outlineLevel="1" x14ac:dyDescent="0.3">
      <c r="B474" s="425">
        <f t="shared" si="14"/>
        <v>20</v>
      </c>
      <c r="C474" s="95" t="s">
        <v>456</v>
      </c>
      <c r="D474" s="474"/>
      <c r="E474" s="474"/>
      <c r="F474" s="91"/>
      <c r="G474" s="91"/>
      <c r="H474" s="91"/>
      <c r="I474" s="91"/>
      <c r="J474" s="91"/>
      <c r="K474" s="91"/>
      <c r="L474" s="91"/>
      <c r="M474" s="91"/>
      <c r="N474" s="91"/>
      <c r="O474" s="91"/>
      <c r="P474" s="91"/>
      <c r="Q474" s="91"/>
      <c r="R474" s="91"/>
      <c r="S474" s="91"/>
      <c r="T474" s="91"/>
      <c r="U474" s="91"/>
      <c r="V474" s="91"/>
      <c r="W474" s="91"/>
    </row>
    <row r="475" spans="2:23" ht="14.4" hidden="1" outlineLevel="1" x14ac:dyDescent="0.3">
      <c r="B475" s="425">
        <f t="shared" si="14"/>
        <v>21</v>
      </c>
      <c r="C475" s="95" t="s">
        <v>456</v>
      </c>
      <c r="D475" s="474"/>
      <c r="E475" s="474"/>
      <c r="F475" s="91"/>
      <c r="G475" s="91"/>
      <c r="H475" s="91"/>
      <c r="I475" s="91"/>
      <c r="J475" s="91"/>
      <c r="K475" s="91"/>
      <c r="L475" s="91"/>
      <c r="M475" s="91"/>
      <c r="N475" s="91"/>
      <c r="O475" s="91"/>
      <c r="P475" s="91"/>
      <c r="Q475" s="91"/>
      <c r="R475" s="91"/>
      <c r="S475" s="91"/>
      <c r="T475" s="91"/>
      <c r="U475" s="91"/>
      <c r="V475" s="91"/>
      <c r="W475" s="91"/>
    </row>
    <row r="476" spans="2:23" ht="14.4" hidden="1" outlineLevel="1" x14ac:dyDescent="0.3">
      <c r="B476" s="425">
        <f t="shared" si="14"/>
        <v>22</v>
      </c>
      <c r="C476" s="95" t="s">
        <v>456</v>
      </c>
      <c r="D476" s="474"/>
      <c r="E476" s="474"/>
      <c r="F476" s="91"/>
      <c r="G476" s="91"/>
      <c r="H476" s="91"/>
      <c r="I476" s="91"/>
      <c r="J476" s="91"/>
      <c r="K476" s="91"/>
      <c r="L476" s="91"/>
      <c r="M476" s="91"/>
      <c r="N476" s="91"/>
      <c r="O476" s="91"/>
      <c r="P476" s="91"/>
      <c r="Q476" s="91"/>
      <c r="R476" s="91"/>
      <c r="S476" s="91"/>
      <c r="T476" s="91"/>
      <c r="U476" s="91"/>
      <c r="V476" s="91"/>
      <c r="W476" s="91"/>
    </row>
    <row r="477" spans="2:23" ht="14.4" hidden="1" outlineLevel="1" x14ac:dyDescent="0.3">
      <c r="B477" s="425">
        <f t="shared" si="14"/>
        <v>23</v>
      </c>
      <c r="C477" s="95" t="s">
        <v>456</v>
      </c>
      <c r="D477" s="474"/>
      <c r="E477" s="474"/>
      <c r="F477" s="91"/>
      <c r="G477" s="91"/>
      <c r="H477" s="91"/>
      <c r="I477" s="91"/>
      <c r="J477" s="91"/>
      <c r="K477" s="91"/>
      <c r="L477" s="91"/>
      <c r="M477" s="91"/>
      <c r="N477" s="91"/>
      <c r="O477" s="91"/>
      <c r="P477" s="91"/>
      <c r="Q477" s="91"/>
      <c r="R477" s="91"/>
      <c r="S477" s="91"/>
      <c r="T477" s="91"/>
      <c r="U477" s="91"/>
      <c r="V477" s="91"/>
      <c r="W477" s="91"/>
    </row>
    <row r="478" spans="2:23" ht="14.4" hidden="1" outlineLevel="1" x14ac:dyDescent="0.3">
      <c r="B478" s="425">
        <f t="shared" si="14"/>
        <v>24</v>
      </c>
      <c r="C478" s="95" t="s">
        <v>456</v>
      </c>
      <c r="D478" s="474"/>
      <c r="E478" s="474"/>
      <c r="F478" s="91"/>
      <c r="G478" s="91"/>
      <c r="H478" s="91"/>
      <c r="I478" s="91"/>
      <c r="J478" s="91"/>
      <c r="K478" s="91"/>
      <c r="L478" s="91"/>
      <c r="M478" s="91"/>
      <c r="N478" s="91"/>
      <c r="O478" s="91"/>
      <c r="P478" s="91"/>
      <c r="Q478" s="91"/>
      <c r="R478" s="91"/>
      <c r="S478" s="91"/>
      <c r="T478" s="91"/>
      <c r="U478" s="91"/>
      <c r="V478" s="91"/>
      <c r="W478" s="91"/>
    </row>
    <row r="479" spans="2:23" ht="14.4" hidden="1" outlineLevel="1" x14ac:dyDescent="0.3">
      <c r="B479" s="425">
        <f t="shared" si="14"/>
        <v>25</v>
      </c>
      <c r="C479" s="95" t="s">
        <v>456</v>
      </c>
      <c r="D479" s="474"/>
      <c r="E479" s="474"/>
      <c r="F479" s="91"/>
      <c r="G479" s="91"/>
      <c r="H479" s="91"/>
      <c r="I479" s="91"/>
      <c r="J479" s="91"/>
      <c r="K479" s="91"/>
      <c r="L479" s="91"/>
      <c r="M479" s="91"/>
      <c r="N479" s="91"/>
      <c r="O479" s="91"/>
      <c r="P479" s="91"/>
      <c r="Q479" s="91"/>
      <c r="R479" s="91"/>
      <c r="S479" s="91"/>
      <c r="T479" s="91"/>
      <c r="U479" s="91"/>
      <c r="V479" s="91"/>
      <c r="W479" s="91"/>
    </row>
    <row r="480" spans="2:23" ht="14.4" hidden="1" outlineLevel="1" x14ac:dyDescent="0.3">
      <c r="B480" s="425">
        <f t="shared" si="14"/>
        <v>26</v>
      </c>
      <c r="C480" s="95" t="s">
        <v>456</v>
      </c>
      <c r="D480" s="474"/>
      <c r="E480" s="474"/>
      <c r="F480" s="91"/>
      <c r="G480" s="91"/>
      <c r="H480" s="91"/>
      <c r="I480" s="91"/>
      <c r="J480" s="91"/>
      <c r="K480" s="91"/>
      <c r="L480" s="91"/>
      <c r="M480" s="91"/>
      <c r="N480" s="91"/>
      <c r="O480" s="91"/>
      <c r="P480" s="91"/>
      <c r="Q480" s="91"/>
      <c r="R480" s="91"/>
      <c r="S480" s="91"/>
      <c r="T480" s="91"/>
      <c r="U480" s="91"/>
      <c r="V480" s="91"/>
      <c r="W480" s="91"/>
    </row>
    <row r="481" spans="2:23" ht="14.4" hidden="1" outlineLevel="1" x14ac:dyDescent="0.3">
      <c r="B481" s="425">
        <f t="shared" si="14"/>
        <v>27</v>
      </c>
      <c r="C481" s="95" t="s">
        <v>456</v>
      </c>
      <c r="D481" s="474"/>
      <c r="E481" s="474"/>
      <c r="F481" s="91"/>
      <c r="G481" s="91"/>
      <c r="H481" s="91"/>
      <c r="I481" s="91"/>
      <c r="J481" s="91"/>
      <c r="K481" s="91"/>
      <c r="L481" s="91"/>
      <c r="M481" s="91"/>
      <c r="N481" s="91"/>
      <c r="O481" s="91"/>
      <c r="P481" s="91"/>
      <c r="Q481" s="91"/>
      <c r="R481" s="91"/>
      <c r="S481" s="91"/>
      <c r="T481" s="91"/>
      <c r="U481" s="91"/>
      <c r="V481" s="91"/>
      <c r="W481" s="91"/>
    </row>
    <row r="482" spans="2:23" ht="14.4" hidden="1" outlineLevel="1" x14ac:dyDescent="0.3">
      <c r="B482" s="425">
        <f t="shared" si="14"/>
        <v>28</v>
      </c>
      <c r="C482" s="95" t="s">
        <v>456</v>
      </c>
      <c r="D482" s="474"/>
      <c r="E482" s="474"/>
      <c r="F482" s="91"/>
      <c r="G482" s="91"/>
      <c r="H482" s="91"/>
      <c r="I482" s="91"/>
      <c r="J482" s="91"/>
      <c r="K482" s="91"/>
      <c r="L482" s="91"/>
      <c r="M482" s="91"/>
      <c r="N482" s="91"/>
      <c r="O482" s="91"/>
      <c r="P482" s="91"/>
      <c r="Q482" s="91"/>
      <c r="R482" s="91"/>
      <c r="S482" s="91"/>
      <c r="T482" s="91"/>
      <c r="U482" s="91"/>
      <c r="V482" s="91"/>
      <c r="W482" s="91"/>
    </row>
    <row r="483" spans="2:23" ht="14.4" hidden="1" outlineLevel="1" x14ac:dyDescent="0.3">
      <c r="B483" s="425">
        <f t="shared" si="14"/>
        <v>29</v>
      </c>
      <c r="C483" s="95" t="s">
        <v>456</v>
      </c>
      <c r="D483" s="474"/>
      <c r="E483" s="474"/>
      <c r="F483" s="91"/>
      <c r="G483" s="91"/>
      <c r="H483" s="91"/>
      <c r="I483" s="91"/>
      <c r="J483" s="91"/>
      <c r="K483" s="91"/>
      <c r="L483" s="91"/>
      <c r="M483" s="91"/>
      <c r="N483" s="91"/>
      <c r="O483" s="91"/>
      <c r="P483" s="91"/>
      <c r="Q483" s="91"/>
      <c r="R483" s="91"/>
      <c r="S483" s="91"/>
      <c r="T483" s="91"/>
      <c r="U483" s="91"/>
      <c r="V483" s="91"/>
      <c r="W483" s="91"/>
    </row>
    <row r="484" spans="2:23" ht="14.4" hidden="1" outlineLevel="1" x14ac:dyDescent="0.3">
      <c r="B484" s="425">
        <f t="shared" si="14"/>
        <v>30</v>
      </c>
      <c r="C484" s="95" t="s">
        <v>456</v>
      </c>
      <c r="D484" s="474"/>
      <c r="E484" s="474"/>
      <c r="F484" s="91"/>
      <c r="G484" s="91"/>
      <c r="H484" s="91"/>
      <c r="I484" s="91"/>
      <c r="J484" s="91"/>
      <c r="K484" s="91"/>
      <c r="L484" s="91"/>
      <c r="M484" s="91"/>
      <c r="N484" s="91"/>
      <c r="O484" s="91"/>
      <c r="P484" s="91"/>
      <c r="Q484" s="91"/>
      <c r="R484" s="91"/>
      <c r="S484" s="91"/>
      <c r="T484" s="91"/>
      <c r="U484" s="91"/>
      <c r="V484" s="91"/>
      <c r="W484" s="91"/>
    </row>
    <row r="485" spans="2:23" ht="14.4" hidden="1" outlineLevel="1" x14ac:dyDescent="0.3">
      <c r="B485" s="425">
        <f t="shared" si="14"/>
        <v>31</v>
      </c>
      <c r="C485" s="95" t="s">
        <v>456</v>
      </c>
      <c r="D485" s="474"/>
      <c r="E485" s="474"/>
      <c r="F485" s="91"/>
      <c r="G485" s="91"/>
      <c r="H485" s="91"/>
      <c r="I485" s="91"/>
      <c r="J485" s="91"/>
      <c r="K485" s="91"/>
      <c r="L485" s="91"/>
      <c r="M485" s="91"/>
      <c r="N485" s="91"/>
      <c r="O485" s="91"/>
      <c r="P485" s="91"/>
      <c r="Q485" s="91"/>
      <c r="R485" s="91"/>
      <c r="S485" s="91"/>
      <c r="T485" s="91"/>
      <c r="U485" s="91"/>
      <c r="V485" s="91"/>
      <c r="W485" s="91"/>
    </row>
    <row r="486" spans="2:23" ht="14.4" hidden="1" outlineLevel="1" x14ac:dyDescent="0.3">
      <c r="B486" s="425">
        <f t="shared" si="14"/>
        <v>32</v>
      </c>
      <c r="C486" s="95" t="s">
        <v>456</v>
      </c>
      <c r="D486" s="474"/>
      <c r="E486" s="474"/>
      <c r="F486" s="91"/>
      <c r="G486" s="91"/>
      <c r="H486" s="91"/>
      <c r="I486" s="91"/>
      <c r="J486" s="91"/>
      <c r="K486" s="91"/>
      <c r="L486" s="91"/>
      <c r="M486" s="91"/>
      <c r="N486" s="91"/>
      <c r="O486" s="91"/>
      <c r="P486" s="91"/>
      <c r="Q486" s="91"/>
      <c r="R486" s="91"/>
      <c r="S486" s="91"/>
      <c r="T486" s="91"/>
      <c r="U486" s="91"/>
      <c r="V486" s="91"/>
      <c r="W486" s="91"/>
    </row>
    <row r="487" spans="2:23" ht="14.4" hidden="1" outlineLevel="1" x14ac:dyDescent="0.3">
      <c r="B487" s="425">
        <f t="shared" si="14"/>
        <v>33</v>
      </c>
      <c r="C487" s="95" t="s">
        <v>456</v>
      </c>
      <c r="D487" s="474"/>
      <c r="E487" s="474"/>
      <c r="F487" s="91"/>
      <c r="G487" s="91"/>
      <c r="H487" s="91"/>
      <c r="I487" s="91"/>
      <c r="J487" s="91"/>
      <c r="K487" s="91"/>
      <c r="L487" s="91"/>
      <c r="M487" s="91"/>
      <c r="N487" s="91"/>
      <c r="O487" s="91"/>
      <c r="P487" s="91"/>
      <c r="Q487" s="91"/>
      <c r="R487" s="91"/>
      <c r="S487" s="91"/>
      <c r="T487" s="91"/>
      <c r="U487" s="91"/>
      <c r="V487" s="91"/>
      <c r="W487" s="91"/>
    </row>
    <row r="488" spans="2:23" ht="14.4" hidden="1" outlineLevel="1" x14ac:dyDescent="0.3">
      <c r="B488" s="425">
        <f t="shared" si="14"/>
        <v>34</v>
      </c>
      <c r="C488" s="95" t="s">
        <v>456</v>
      </c>
      <c r="D488" s="474"/>
      <c r="E488" s="474"/>
      <c r="F488" s="91"/>
      <c r="G488" s="91"/>
      <c r="H488" s="91"/>
      <c r="I488" s="91"/>
      <c r="J488" s="91"/>
      <c r="K488" s="91"/>
      <c r="L488" s="91"/>
      <c r="M488" s="91"/>
      <c r="N488" s="91"/>
      <c r="O488" s="91"/>
      <c r="P488" s="91"/>
      <c r="Q488" s="91"/>
      <c r="R488" s="91"/>
      <c r="S488" s="91"/>
      <c r="T488" s="91"/>
      <c r="U488" s="91"/>
      <c r="V488" s="91"/>
      <c r="W488" s="91"/>
    </row>
    <row r="489" spans="2:23" ht="14.4" hidden="1" outlineLevel="1" x14ac:dyDescent="0.3">
      <c r="B489" s="425">
        <f t="shared" si="14"/>
        <v>35</v>
      </c>
      <c r="C489" s="95" t="s">
        <v>456</v>
      </c>
      <c r="D489" s="474"/>
      <c r="E489" s="474"/>
      <c r="F489" s="91"/>
      <c r="G489" s="91"/>
      <c r="H489" s="91"/>
      <c r="I489" s="91"/>
      <c r="J489" s="91"/>
      <c r="K489" s="91"/>
      <c r="L489" s="91"/>
      <c r="M489" s="91"/>
      <c r="N489" s="91"/>
      <c r="O489" s="91"/>
      <c r="P489" s="91"/>
      <c r="Q489" s="91"/>
      <c r="R489" s="91"/>
      <c r="S489" s="91"/>
      <c r="T489" s="91"/>
      <c r="U489" s="91"/>
      <c r="V489" s="91"/>
      <c r="W489" s="91"/>
    </row>
    <row r="490" spans="2:23" ht="14.4" hidden="1" outlineLevel="1" x14ac:dyDescent="0.3">
      <c r="B490" s="425">
        <f t="shared" si="14"/>
        <v>36</v>
      </c>
      <c r="C490" s="95" t="s">
        <v>456</v>
      </c>
      <c r="D490" s="474"/>
      <c r="E490" s="474"/>
      <c r="F490" s="91"/>
      <c r="G490" s="91"/>
      <c r="H490" s="91"/>
      <c r="I490" s="91"/>
      <c r="J490" s="91"/>
      <c r="K490" s="91"/>
      <c r="L490" s="91"/>
      <c r="M490" s="91"/>
      <c r="N490" s="91"/>
      <c r="O490" s="91"/>
      <c r="P490" s="91"/>
      <c r="Q490" s="91"/>
      <c r="R490" s="91"/>
      <c r="S490" s="91"/>
      <c r="T490" s="91"/>
      <c r="U490" s="91"/>
      <c r="V490" s="91"/>
      <c r="W490" s="91"/>
    </row>
    <row r="491" spans="2:23" ht="14.4" hidden="1" outlineLevel="1" x14ac:dyDescent="0.3">
      <c r="B491" s="425">
        <f t="shared" si="14"/>
        <v>37</v>
      </c>
      <c r="C491" s="95" t="s">
        <v>456</v>
      </c>
      <c r="D491" s="474"/>
      <c r="E491" s="474"/>
      <c r="F491" s="91"/>
      <c r="G491" s="91"/>
      <c r="H491" s="91"/>
      <c r="I491" s="91"/>
      <c r="J491" s="91"/>
      <c r="K491" s="91"/>
      <c r="L491" s="91"/>
      <c r="M491" s="91"/>
      <c r="N491" s="91"/>
      <c r="O491" s="91"/>
      <c r="P491" s="91"/>
      <c r="Q491" s="91"/>
      <c r="R491" s="91"/>
      <c r="S491" s="91"/>
      <c r="T491" s="91"/>
      <c r="U491" s="91"/>
      <c r="V491" s="91"/>
      <c r="W491" s="91"/>
    </row>
    <row r="492" spans="2:23" ht="14.4" hidden="1" outlineLevel="1" x14ac:dyDescent="0.3">
      <c r="B492" s="425">
        <f t="shared" si="14"/>
        <v>38</v>
      </c>
      <c r="C492" s="95" t="s">
        <v>456</v>
      </c>
      <c r="D492" s="474"/>
      <c r="E492" s="474"/>
      <c r="F492" s="91"/>
      <c r="G492" s="91"/>
      <c r="H492" s="91"/>
      <c r="I492" s="91"/>
      <c r="J492" s="91"/>
      <c r="K492" s="91"/>
      <c r="L492" s="91"/>
      <c r="M492" s="91"/>
      <c r="N492" s="91"/>
      <c r="O492" s="91"/>
      <c r="P492" s="91"/>
      <c r="Q492" s="91"/>
      <c r="R492" s="91"/>
      <c r="S492" s="91"/>
      <c r="T492" s="91"/>
      <c r="U492" s="91"/>
      <c r="V492" s="91"/>
      <c r="W492" s="91"/>
    </row>
    <row r="493" spans="2:23" ht="14.4" hidden="1" outlineLevel="1" x14ac:dyDescent="0.3">
      <c r="B493" s="425">
        <f t="shared" si="14"/>
        <v>39</v>
      </c>
      <c r="C493" s="95" t="s">
        <v>456</v>
      </c>
      <c r="D493" s="474"/>
      <c r="E493" s="474"/>
      <c r="F493" s="91"/>
      <c r="G493" s="91"/>
      <c r="H493" s="91"/>
      <c r="I493" s="91"/>
      <c r="J493" s="91"/>
      <c r="K493" s="91"/>
      <c r="L493" s="91"/>
      <c r="M493" s="91"/>
      <c r="N493" s="91"/>
      <c r="O493" s="91"/>
      <c r="P493" s="91"/>
      <c r="Q493" s="91"/>
      <c r="R493" s="91"/>
      <c r="S493" s="91"/>
      <c r="T493" s="91"/>
      <c r="U493" s="91"/>
      <c r="V493" s="91"/>
      <c r="W493" s="91"/>
    </row>
    <row r="494" spans="2:23" ht="14.4" hidden="1" outlineLevel="1" x14ac:dyDescent="0.3">
      <c r="B494" s="425">
        <f t="shared" si="14"/>
        <v>40</v>
      </c>
      <c r="C494" s="95" t="s">
        <v>456</v>
      </c>
      <c r="D494" s="474"/>
      <c r="E494" s="474"/>
      <c r="F494" s="91"/>
      <c r="G494" s="91"/>
      <c r="H494" s="91"/>
      <c r="I494" s="91"/>
      <c r="J494" s="91"/>
      <c r="K494" s="91"/>
      <c r="L494" s="91"/>
      <c r="M494" s="91"/>
      <c r="N494" s="91"/>
      <c r="O494" s="91"/>
      <c r="P494" s="91"/>
      <c r="Q494" s="91"/>
      <c r="R494" s="91"/>
      <c r="S494" s="91"/>
      <c r="T494" s="91"/>
      <c r="U494" s="91"/>
      <c r="V494" s="91"/>
      <c r="W494" s="91"/>
    </row>
    <row r="495" spans="2:23" ht="14.4" hidden="1" outlineLevel="1" x14ac:dyDescent="0.3">
      <c r="B495" s="425">
        <f t="shared" si="14"/>
        <v>41</v>
      </c>
      <c r="C495" s="95" t="s">
        <v>456</v>
      </c>
      <c r="D495" s="474"/>
      <c r="E495" s="474"/>
      <c r="F495" s="91"/>
      <c r="G495" s="91"/>
      <c r="H495" s="91"/>
      <c r="I495" s="91"/>
      <c r="J495" s="91"/>
      <c r="K495" s="91"/>
      <c r="L495" s="91"/>
      <c r="M495" s="91"/>
      <c r="N495" s="91"/>
      <c r="O495" s="91"/>
      <c r="P495" s="91"/>
      <c r="Q495" s="91"/>
      <c r="R495" s="91"/>
      <c r="S495" s="91"/>
      <c r="T495" s="91"/>
      <c r="U495" s="91"/>
      <c r="V495" s="91"/>
      <c r="W495" s="91"/>
    </row>
    <row r="496" spans="2:23" ht="14.4" hidden="1" outlineLevel="1" x14ac:dyDescent="0.3">
      <c r="B496" s="425">
        <f t="shared" si="14"/>
        <v>42</v>
      </c>
      <c r="C496" s="95" t="s">
        <v>456</v>
      </c>
      <c r="D496" s="474"/>
      <c r="E496" s="474"/>
      <c r="F496" s="91"/>
      <c r="G496" s="91"/>
      <c r="H496" s="91"/>
      <c r="I496" s="91"/>
      <c r="J496" s="91"/>
      <c r="K496" s="91"/>
      <c r="L496" s="91"/>
      <c r="M496" s="91"/>
      <c r="N496" s="91"/>
      <c r="O496" s="91"/>
      <c r="P496" s="91"/>
      <c r="Q496" s="91"/>
      <c r="R496" s="91"/>
      <c r="S496" s="91"/>
      <c r="T496" s="91"/>
      <c r="U496" s="91"/>
      <c r="V496" s="91"/>
      <c r="W496" s="91"/>
    </row>
    <row r="497" spans="2:23" ht="14.4" hidden="1" outlineLevel="1" x14ac:dyDescent="0.3">
      <c r="B497" s="425">
        <f t="shared" si="14"/>
        <v>43</v>
      </c>
      <c r="C497" s="95" t="s">
        <v>456</v>
      </c>
      <c r="D497" s="474"/>
      <c r="E497" s="474"/>
      <c r="F497" s="91"/>
      <c r="G497" s="91"/>
      <c r="H497" s="91"/>
      <c r="I497" s="91"/>
      <c r="J497" s="91"/>
      <c r="K497" s="91"/>
      <c r="L497" s="91"/>
      <c r="M497" s="91"/>
      <c r="N497" s="91"/>
      <c r="O497" s="91"/>
      <c r="P497" s="91"/>
      <c r="Q497" s="91"/>
      <c r="R497" s="91"/>
      <c r="S497" s="91"/>
      <c r="T497" s="91"/>
      <c r="U497" s="91"/>
      <c r="V497" s="91"/>
      <c r="W497" s="91"/>
    </row>
    <row r="498" spans="2:23" ht="14.4" hidden="1" outlineLevel="1" x14ac:dyDescent="0.3">
      <c r="B498" s="425">
        <f t="shared" si="14"/>
        <v>44</v>
      </c>
      <c r="C498" s="95" t="s">
        <v>456</v>
      </c>
      <c r="D498" s="474"/>
      <c r="E498" s="474"/>
      <c r="F498" s="91"/>
      <c r="G498" s="91"/>
      <c r="H498" s="91"/>
      <c r="I498" s="91"/>
      <c r="J498" s="91"/>
      <c r="K498" s="91"/>
      <c r="L498" s="91"/>
      <c r="M498" s="91"/>
      <c r="N498" s="91"/>
      <c r="O498" s="91"/>
      <c r="P498" s="91"/>
      <c r="Q498" s="91"/>
      <c r="R498" s="91"/>
      <c r="S498" s="91"/>
      <c r="T498" s="91"/>
      <c r="U498" s="91"/>
      <c r="V498" s="91"/>
      <c r="W498" s="91"/>
    </row>
    <row r="499" spans="2:23" ht="14.4" hidden="1" outlineLevel="1" x14ac:dyDescent="0.3">
      <c r="B499" s="425">
        <f t="shared" si="14"/>
        <v>45</v>
      </c>
      <c r="C499" s="95" t="s">
        <v>456</v>
      </c>
      <c r="D499" s="474"/>
      <c r="E499" s="474"/>
      <c r="F499" s="91"/>
      <c r="G499" s="91"/>
      <c r="H499" s="91"/>
      <c r="I499" s="91"/>
      <c r="J499" s="91"/>
      <c r="K499" s="91"/>
      <c r="L499" s="91"/>
      <c r="M499" s="91"/>
      <c r="N499" s="91"/>
      <c r="O499" s="91"/>
      <c r="P499" s="91"/>
      <c r="Q499" s="91"/>
      <c r="R499" s="91"/>
      <c r="S499" s="91"/>
      <c r="T499" s="91"/>
      <c r="U499" s="91"/>
      <c r="V499" s="91"/>
      <c r="W499" s="91"/>
    </row>
    <row r="500" spans="2:23" ht="14.4" hidden="1" outlineLevel="1" x14ac:dyDescent="0.3">
      <c r="B500" s="425">
        <f t="shared" si="14"/>
        <v>46</v>
      </c>
      <c r="C500" s="95" t="s">
        <v>456</v>
      </c>
      <c r="D500" s="474"/>
      <c r="E500" s="474"/>
      <c r="F500" s="91"/>
      <c r="G500" s="91"/>
      <c r="H500" s="91"/>
      <c r="I500" s="91"/>
      <c r="J500" s="91"/>
      <c r="K500" s="91"/>
      <c r="L500" s="91"/>
      <c r="M500" s="91"/>
      <c r="N500" s="91"/>
      <c r="O500" s="91"/>
      <c r="P500" s="91"/>
      <c r="Q500" s="91"/>
      <c r="R500" s="91"/>
      <c r="S500" s="91"/>
      <c r="T500" s="91"/>
      <c r="U500" s="91"/>
      <c r="V500" s="91"/>
      <c r="W500" s="91"/>
    </row>
    <row r="501" spans="2:23" ht="14.4" hidden="1" outlineLevel="1" x14ac:dyDescent="0.3">
      <c r="B501" s="425">
        <f t="shared" si="14"/>
        <v>47</v>
      </c>
      <c r="C501" s="95" t="s">
        <v>456</v>
      </c>
      <c r="D501" s="474"/>
      <c r="E501" s="474"/>
      <c r="F501" s="91"/>
      <c r="G501" s="91"/>
      <c r="H501" s="91"/>
      <c r="I501" s="91"/>
      <c r="J501" s="91"/>
      <c r="K501" s="91"/>
      <c r="L501" s="91"/>
      <c r="M501" s="91"/>
      <c r="N501" s="91"/>
      <c r="O501" s="91"/>
      <c r="P501" s="91"/>
      <c r="Q501" s="91"/>
      <c r="R501" s="91"/>
      <c r="S501" s="91"/>
      <c r="T501" s="91"/>
      <c r="U501" s="91"/>
      <c r="V501" s="91"/>
      <c r="W501" s="91"/>
    </row>
    <row r="502" spans="2:23" ht="14.4" hidden="1" outlineLevel="1" x14ac:dyDescent="0.3">
      <c r="B502" s="425">
        <f t="shared" si="14"/>
        <v>48</v>
      </c>
      <c r="C502" s="95" t="s">
        <v>456</v>
      </c>
      <c r="D502" s="474"/>
      <c r="E502" s="474"/>
      <c r="F502" s="91"/>
      <c r="G502" s="91"/>
      <c r="H502" s="91"/>
      <c r="I502" s="91"/>
      <c r="J502" s="91"/>
      <c r="K502" s="91"/>
      <c r="L502" s="91"/>
      <c r="M502" s="91"/>
      <c r="N502" s="91"/>
      <c r="O502" s="91"/>
      <c r="P502" s="91"/>
      <c r="Q502" s="91"/>
      <c r="R502" s="91"/>
      <c r="S502" s="91"/>
      <c r="T502" s="91"/>
      <c r="U502" s="91"/>
      <c r="V502" s="91"/>
      <c r="W502" s="91"/>
    </row>
    <row r="503" spans="2:23" ht="14.4" hidden="1" outlineLevel="1" x14ac:dyDescent="0.3">
      <c r="B503" s="425">
        <f t="shared" si="14"/>
        <v>49</v>
      </c>
      <c r="C503" s="95" t="s">
        <v>456</v>
      </c>
      <c r="D503" s="474"/>
      <c r="E503" s="474"/>
      <c r="F503" s="91"/>
      <c r="G503" s="91"/>
      <c r="H503" s="91"/>
      <c r="I503" s="91"/>
      <c r="J503" s="91"/>
      <c r="K503" s="91"/>
      <c r="L503" s="91"/>
      <c r="M503" s="91"/>
      <c r="N503" s="91"/>
      <c r="O503" s="91"/>
      <c r="P503" s="91"/>
      <c r="Q503" s="91"/>
      <c r="R503" s="91"/>
      <c r="S503" s="91"/>
      <c r="T503" s="91"/>
      <c r="U503" s="91"/>
      <c r="V503" s="91"/>
      <c r="W503" s="91"/>
    </row>
    <row r="504" spans="2:23" ht="14.4" hidden="1" outlineLevel="1" x14ac:dyDescent="0.3">
      <c r="B504" s="425">
        <f t="shared" si="14"/>
        <v>50</v>
      </c>
      <c r="C504" s="95" t="s">
        <v>456</v>
      </c>
      <c r="D504" s="474"/>
      <c r="E504" s="474"/>
      <c r="F504" s="91"/>
      <c r="G504" s="91"/>
      <c r="H504" s="91"/>
      <c r="I504" s="91"/>
      <c r="J504" s="91"/>
      <c r="K504" s="91"/>
      <c r="L504" s="91"/>
      <c r="M504" s="91"/>
      <c r="N504" s="91"/>
      <c r="O504" s="91"/>
      <c r="P504" s="91"/>
      <c r="Q504" s="91"/>
      <c r="R504" s="91"/>
      <c r="S504" s="91"/>
      <c r="T504" s="91"/>
      <c r="U504" s="91"/>
      <c r="V504" s="91"/>
      <c r="W504" s="91"/>
    </row>
    <row r="505" spans="2:23" ht="14.4" hidden="1" outlineLevel="1" x14ac:dyDescent="0.3">
      <c r="B505" s="425">
        <f t="shared" si="14"/>
        <v>51</v>
      </c>
      <c r="C505" s="95" t="s">
        <v>456</v>
      </c>
      <c r="D505" s="474"/>
      <c r="E505" s="474"/>
      <c r="F505" s="91"/>
      <c r="G505" s="91"/>
      <c r="H505" s="91"/>
      <c r="I505" s="91"/>
      <c r="J505" s="91"/>
      <c r="K505" s="91"/>
      <c r="L505" s="91"/>
      <c r="M505" s="91"/>
      <c r="N505" s="91"/>
      <c r="O505" s="91"/>
      <c r="P505" s="91"/>
      <c r="Q505" s="91"/>
      <c r="R505" s="91"/>
      <c r="S505" s="91"/>
      <c r="T505" s="91"/>
      <c r="U505" s="91"/>
      <c r="V505" s="91"/>
      <c r="W505" s="91"/>
    </row>
    <row r="506" spans="2:23" ht="14.4" hidden="1" outlineLevel="1" x14ac:dyDescent="0.3">
      <c r="B506" s="425">
        <f t="shared" si="14"/>
        <v>52</v>
      </c>
      <c r="C506" s="95" t="s">
        <v>456</v>
      </c>
      <c r="D506" s="474"/>
      <c r="E506" s="474"/>
      <c r="F506" s="91"/>
      <c r="G506" s="91"/>
      <c r="H506" s="91"/>
      <c r="I506" s="91"/>
      <c r="J506" s="91"/>
      <c r="K506" s="91"/>
      <c r="L506" s="91"/>
      <c r="M506" s="91"/>
      <c r="N506" s="91"/>
      <c r="O506" s="91"/>
      <c r="P506" s="91"/>
      <c r="Q506" s="91"/>
      <c r="R506" s="91"/>
      <c r="S506" s="91"/>
      <c r="T506" s="91"/>
      <c r="U506" s="91"/>
      <c r="V506" s="91"/>
      <c r="W506" s="91"/>
    </row>
    <row r="507" spans="2:23" ht="14.4" hidden="1" outlineLevel="1" x14ac:dyDescent="0.3">
      <c r="B507" s="425">
        <f t="shared" si="14"/>
        <v>53</v>
      </c>
      <c r="C507" s="95" t="s">
        <v>456</v>
      </c>
      <c r="D507" s="474"/>
      <c r="E507" s="474"/>
      <c r="F507" s="91"/>
      <c r="G507" s="91"/>
      <c r="H507" s="91"/>
      <c r="I507" s="91"/>
      <c r="J507" s="91"/>
      <c r="K507" s="91"/>
      <c r="L507" s="91"/>
      <c r="M507" s="91"/>
      <c r="N507" s="91"/>
      <c r="O507" s="91"/>
      <c r="P507" s="91"/>
      <c r="Q507" s="91"/>
      <c r="R507" s="91"/>
      <c r="S507" s="91"/>
      <c r="T507" s="91"/>
      <c r="U507" s="91"/>
      <c r="V507" s="91"/>
      <c r="W507" s="91"/>
    </row>
    <row r="508" spans="2:23" ht="14.4" hidden="1" outlineLevel="1" x14ac:dyDescent="0.3">
      <c r="B508" s="425">
        <f t="shared" si="14"/>
        <v>54</v>
      </c>
      <c r="C508" s="95" t="s">
        <v>456</v>
      </c>
      <c r="D508" s="474"/>
      <c r="E508" s="474"/>
      <c r="F508" s="91"/>
      <c r="G508" s="91"/>
      <c r="H508" s="91"/>
      <c r="I508" s="91"/>
      <c r="J508" s="91"/>
      <c r="K508" s="91"/>
      <c r="L508" s="91"/>
      <c r="M508" s="91"/>
      <c r="N508" s="91"/>
      <c r="O508" s="91"/>
      <c r="P508" s="91"/>
      <c r="Q508" s="91"/>
      <c r="R508" s="91"/>
      <c r="S508" s="91"/>
      <c r="T508" s="91"/>
      <c r="U508" s="91"/>
      <c r="V508" s="91"/>
      <c r="W508" s="91"/>
    </row>
    <row r="509" spans="2:23" ht="14.4" hidden="1" outlineLevel="1" x14ac:dyDescent="0.3">
      <c r="B509" s="425">
        <f t="shared" si="14"/>
        <v>55</v>
      </c>
      <c r="C509" s="95" t="s">
        <v>456</v>
      </c>
      <c r="D509" s="474"/>
      <c r="E509" s="474"/>
      <c r="F509" s="91"/>
      <c r="G509" s="91"/>
      <c r="H509" s="91"/>
      <c r="I509" s="91"/>
      <c r="J509" s="91"/>
      <c r="K509" s="91"/>
      <c r="L509" s="91"/>
      <c r="M509" s="91"/>
      <c r="N509" s="91"/>
      <c r="O509" s="91"/>
      <c r="P509" s="91"/>
      <c r="Q509" s="91"/>
      <c r="R509" s="91"/>
      <c r="S509" s="91"/>
      <c r="T509" s="91"/>
      <c r="U509" s="91"/>
      <c r="V509" s="91"/>
      <c r="W509" s="91"/>
    </row>
    <row r="510" spans="2:23" ht="14.4" hidden="1" outlineLevel="1" x14ac:dyDescent="0.3">
      <c r="B510" s="425">
        <f t="shared" si="14"/>
        <v>56</v>
      </c>
      <c r="C510" s="95" t="s">
        <v>456</v>
      </c>
      <c r="D510" s="474"/>
      <c r="E510" s="474"/>
      <c r="F510" s="91"/>
      <c r="G510" s="91"/>
      <c r="H510" s="91"/>
      <c r="I510" s="91"/>
      <c r="J510" s="91"/>
      <c r="K510" s="91"/>
      <c r="L510" s="91"/>
      <c r="M510" s="91"/>
      <c r="N510" s="91"/>
      <c r="O510" s="91"/>
      <c r="P510" s="91"/>
      <c r="Q510" s="91"/>
      <c r="R510" s="91"/>
      <c r="S510" s="91"/>
      <c r="T510" s="91"/>
      <c r="U510" s="91"/>
      <c r="V510" s="91"/>
      <c r="W510" s="91"/>
    </row>
    <row r="511" spans="2:23" ht="14.4" hidden="1" outlineLevel="1" x14ac:dyDescent="0.3">
      <c r="B511" s="425">
        <f t="shared" si="14"/>
        <v>57</v>
      </c>
      <c r="C511" s="95" t="s">
        <v>456</v>
      </c>
      <c r="D511" s="474"/>
      <c r="E511" s="474"/>
      <c r="F511" s="91"/>
      <c r="G511" s="91"/>
      <c r="H511" s="91"/>
      <c r="I511" s="91"/>
      <c r="J511" s="91"/>
      <c r="K511" s="91"/>
      <c r="L511" s="91"/>
      <c r="M511" s="91"/>
      <c r="N511" s="91"/>
      <c r="O511" s="91"/>
      <c r="P511" s="91"/>
      <c r="Q511" s="91"/>
      <c r="R511" s="91"/>
      <c r="S511" s="91"/>
      <c r="T511" s="91"/>
      <c r="U511" s="91"/>
      <c r="V511" s="91"/>
      <c r="W511" s="91"/>
    </row>
    <row r="512" spans="2:23" ht="14.4" hidden="1" outlineLevel="1" x14ac:dyDescent="0.3">
      <c r="B512" s="425">
        <f t="shared" si="14"/>
        <v>58</v>
      </c>
      <c r="C512" s="95" t="s">
        <v>456</v>
      </c>
      <c r="D512" s="474"/>
      <c r="E512" s="474"/>
      <c r="F512" s="91"/>
      <c r="G512" s="91"/>
      <c r="H512" s="91"/>
      <c r="I512" s="91"/>
      <c r="J512" s="91"/>
      <c r="K512" s="91"/>
      <c r="L512" s="91"/>
      <c r="M512" s="91"/>
      <c r="N512" s="91"/>
      <c r="O512" s="91"/>
      <c r="P512" s="91"/>
      <c r="Q512" s="91"/>
      <c r="R512" s="91"/>
      <c r="S512" s="91"/>
      <c r="T512" s="91"/>
      <c r="U512" s="91"/>
      <c r="V512" s="91"/>
      <c r="W512" s="91"/>
    </row>
    <row r="513" spans="2:23" ht="14.4" hidden="1" outlineLevel="1" x14ac:dyDescent="0.3">
      <c r="B513" s="425">
        <f t="shared" si="14"/>
        <v>59</v>
      </c>
      <c r="C513" s="95" t="s">
        <v>456</v>
      </c>
      <c r="D513" s="474"/>
      <c r="E513" s="474"/>
      <c r="F513" s="91"/>
      <c r="G513" s="91"/>
      <c r="H513" s="91"/>
      <c r="I513" s="91"/>
      <c r="J513" s="91"/>
      <c r="K513" s="91"/>
      <c r="L513" s="91"/>
      <c r="M513" s="91"/>
      <c r="N513" s="91"/>
      <c r="O513" s="91"/>
      <c r="P513" s="91"/>
      <c r="Q513" s="91"/>
      <c r="R513" s="91"/>
      <c r="S513" s="91"/>
      <c r="T513" s="91"/>
      <c r="U513" s="91"/>
      <c r="V513" s="91"/>
      <c r="W513" s="91"/>
    </row>
    <row r="514" spans="2:23" ht="14.4" hidden="1" outlineLevel="1" x14ac:dyDescent="0.3">
      <c r="B514" s="425">
        <f t="shared" si="14"/>
        <v>60</v>
      </c>
      <c r="C514" s="95" t="s">
        <v>456</v>
      </c>
      <c r="D514" s="474"/>
      <c r="E514" s="474"/>
      <c r="F514" s="91"/>
      <c r="G514" s="91"/>
      <c r="H514" s="91"/>
      <c r="I514" s="91"/>
      <c r="J514" s="91"/>
      <c r="K514" s="91"/>
      <c r="L514" s="91"/>
      <c r="M514" s="91"/>
      <c r="N514" s="91"/>
      <c r="O514" s="91"/>
      <c r="P514" s="91"/>
      <c r="Q514" s="91"/>
      <c r="R514" s="91"/>
      <c r="S514" s="91"/>
      <c r="T514" s="91"/>
      <c r="U514" s="91"/>
      <c r="V514" s="91"/>
      <c r="W514" s="91"/>
    </row>
    <row r="515" spans="2:23" ht="14.4" hidden="1" outlineLevel="1" x14ac:dyDescent="0.3">
      <c r="B515" s="425">
        <f t="shared" si="14"/>
        <v>61</v>
      </c>
      <c r="C515" s="95" t="s">
        <v>456</v>
      </c>
      <c r="D515" s="474"/>
      <c r="E515" s="474"/>
      <c r="F515" s="91"/>
      <c r="G515" s="91"/>
      <c r="H515" s="91"/>
      <c r="I515" s="91"/>
      <c r="J515" s="91"/>
      <c r="K515" s="91"/>
      <c r="L515" s="91"/>
      <c r="M515" s="91"/>
      <c r="N515" s="91"/>
      <c r="O515" s="91"/>
      <c r="P515" s="91"/>
      <c r="Q515" s="91"/>
      <c r="R515" s="91"/>
      <c r="S515" s="91"/>
      <c r="T515" s="91"/>
      <c r="U515" s="91"/>
      <c r="V515" s="91"/>
      <c r="W515" s="91"/>
    </row>
    <row r="516" spans="2:23" ht="14.4" hidden="1" outlineLevel="1" x14ac:dyDescent="0.3">
      <c r="B516" s="425">
        <f t="shared" si="14"/>
        <v>62</v>
      </c>
      <c r="C516" s="95" t="s">
        <v>456</v>
      </c>
      <c r="D516" s="474"/>
      <c r="E516" s="474"/>
      <c r="F516" s="91"/>
      <c r="G516" s="91"/>
      <c r="H516" s="91"/>
      <c r="I516" s="91"/>
      <c r="J516" s="91"/>
      <c r="K516" s="91"/>
      <c r="L516" s="91"/>
      <c r="M516" s="91"/>
      <c r="N516" s="91"/>
      <c r="O516" s="91"/>
      <c r="P516" s="91"/>
      <c r="Q516" s="91"/>
      <c r="R516" s="91"/>
      <c r="S516" s="91"/>
      <c r="T516" s="91"/>
      <c r="U516" s="91"/>
      <c r="V516" s="91"/>
      <c r="W516" s="91"/>
    </row>
    <row r="517" spans="2:23" ht="14.4" hidden="1" outlineLevel="1" x14ac:dyDescent="0.3">
      <c r="B517" s="425">
        <f t="shared" si="14"/>
        <v>63</v>
      </c>
      <c r="C517" s="95" t="s">
        <v>456</v>
      </c>
      <c r="D517" s="474"/>
      <c r="E517" s="474"/>
      <c r="F517" s="91"/>
      <c r="G517" s="91"/>
      <c r="H517" s="91"/>
      <c r="I517" s="91"/>
      <c r="J517" s="91"/>
      <c r="K517" s="91"/>
      <c r="L517" s="91"/>
      <c r="M517" s="91"/>
      <c r="N517" s="91"/>
      <c r="O517" s="91"/>
      <c r="P517" s="91"/>
      <c r="Q517" s="91"/>
      <c r="R517" s="91"/>
      <c r="S517" s="91"/>
      <c r="T517" s="91"/>
      <c r="U517" s="91"/>
      <c r="V517" s="91"/>
      <c r="W517" s="91"/>
    </row>
    <row r="518" spans="2:23" ht="14.4" hidden="1" outlineLevel="1" x14ac:dyDescent="0.3">
      <c r="B518" s="425">
        <f t="shared" si="14"/>
        <v>64</v>
      </c>
      <c r="C518" s="95" t="s">
        <v>456</v>
      </c>
      <c r="D518" s="474"/>
      <c r="E518" s="474"/>
      <c r="F518" s="91"/>
      <c r="G518" s="91"/>
      <c r="H518" s="91"/>
      <c r="I518" s="91"/>
      <c r="J518" s="91"/>
      <c r="K518" s="91"/>
      <c r="L518" s="91"/>
      <c r="M518" s="91"/>
      <c r="N518" s="91"/>
      <c r="O518" s="91"/>
      <c r="P518" s="91"/>
      <c r="Q518" s="91"/>
      <c r="R518" s="91"/>
      <c r="S518" s="91"/>
      <c r="T518" s="91"/>
      <c r="U518" s="91"/>
      <c r="V518" s="91"/>
      <c r="W518" s="91"/>
    </row>
    <row r="519" spans="2:23" ht="14.4" hidden="1" outlineLevel="1" x14ac:dyDescent="0.3">
      <c r="B519" s="425">
        <f t="shared" si="14"/>
        <v>65</v>
      </c>
      <c r="C519" s="95" t="s">
        <v>456</v>
      </c>
      <c r="D519" s="474"/>
      <c r="E519" s="474"/>
      <c r="F519" s="91"/>
      <c r="G519" s="91"/>
      <c r="H519" s="91"/>
      <c r="I519" s="91"/>
      <c r="J519" s="91"/>
      <c r="K519" s="91"/>
      <c r="L519" s="91"/>
      <c r="M519" s="91"/>
      <c r="N519" s="91"/>
      <c r="O519" s="91"/>
      <c r="P519" s="91"/>
      <c r="Q519" s="91"/>
      <c r="R519" s="91"/>
      <c r="S519" s="91"/>
      <c r="T519" s="91"/>
      <c r="U519" s="91"/>
      <c r="V519" s="91"/>
      <c r="W519" s="91"/>
    </row>
    <row r="520" spans="2:23" ht="14.4" hidden="1" outlineLevel="1" x14ac:dyDescent="0.3">
      <c r="B520" s="425">
        <f t="shared" si="14"/>
        <v>66</v>
      </c>
      <c r="C520" s="95" t="s">
        <v>456</v>
      </c>
      <c r="D520" s="474"/>
      <c r="E520" s="474"/>
      <c r="F520" s="91"/>
      <c r="G520" s="91"/>
      <c r="H520" s="91"/>
      <c r="I520" s="91"/>
      <c r="J520" s="91"/>
      <c r="K520" s="91"/>
      <c r="L520" s="91"/>
      <c r="M520" s="91"/>
      <c r="N520" s="91"/>
      <c r="O520" s="91"/>
      <c r="P520" s="91"/>
      <c r="Q520" s="91"/>
      <c r="R520" s="91"/>
      <c r="S520" s="91"/>
      <c r="T520" s="91"/>
      <c r="U520" s="91"/>
      <c r="V520" s="91"/>
      <c r="W520" s="91"/>
    </row>
    <row r="521" spans="2:23" ht="14.4" hidden="1" outlineLevel="1" x14ac:dyDescent="0.3">
      <c r="B521" s="425">
        <f t="shared" ref="B521:B534" si="15">1+B520</f>
        <v>67</v>
      </c>
      <c r="C521" s="95" t="s">
        <v>456</v>
      </c>
      <c r="D521" s="474"/>
      <c r="E521" s="474"/>
      <c r="F521" s="91"/>
      <c r="G521" s="91"/>
      <c r="H521" s="91"/>
      <c r="I521" s="91"/>
      <c r="J521" s="91"/>
      <c r="K521" s="91"/>
      <c r="L521" s="91"/>
      <c r="M521" s="91"/>
      <c r="N521" s="91"/>
      <c r="O521" s="91"/>
      <c r="P521" s="91"/>
      <c r="Q521" s="91"/>
      <c r="R521" s="91"/>
      <c r="S521" s="91"/>
      <c r="T521" s="91"/>
      <c r="U521" s="91"/>
      <c r="V521" s="91"/>
      <c r="W521" s="91"/>
    </row>
    <row r="522" spans="2:23" ht="14.4" hidden="1" outlineLevel="1" x14ac:dyDescent="0.3">
      <c r="B522" s="425">
        <f t="shared" si="15"/>
        <v>68</v>
      </c>
      <c r="C522" s="95" t="s">
        <v>456</v>
      </c>
      <c r="D522" s="474"/>
      <c r="E522" s="474"/>
      <c r="F522" s="91"/>
      <c r="G522" s="91"/>
      <c r="H522" s="91"/>
      <c r="I522" s="91"/>
      <c r="J522" s="91"/>
      <c r="K522" s="91"/>
      <c r="L522" s="91"/>
      <c r="M522" s="91"/>
      <c r="N522" s="91"/>
      <c r="O522" s="91"/>
      <c r="P522" s="91"/>
      <c r="Q522" s="91"/>
      <c r="R522" s="91"/>
      <c r="S522" s="91"/>
      <c r="T522" s="91"/>
      <c r="U522" s="91"/>
      <c r="V522" s="91"/>
      <c r="W522" s="91"/>
    </row>
    <row r="523" spans="2:23" ht="14.4" hidden="1" outlineLevel="1" x14ac:dyDescent="0.3">
      <c r="B523" s="425">
        <f t="shared" si="15"/>
        <v>69</v>
      </c>
      <c r="C523" s="95" t="s">
        <v>456</v>
      </c>
      <c r="D523" s="474"/>
      <c r="E523" s="474"/>
      <c r="F523" s="91"/>
      <c r="G523" s="91"/>
      <c r="H523" s="91"/>
      <c r="I523" s="91"/>
      <c r="J523" s="91"/>
      <c r="K523" s="91"/>
      <c r="L523" s="91"/>
      <c r="M523" s="91"/>
      <c r="N523" s="91"/>
      <c r="O523" s="91"/>
      <c r="P523" s="91"/>
      <c r="Q523" s="91"/>
      <c r="R523" s="91"/>
      <c r="S523" s="91"/>
      <c r="T523" s="91"/>
      <c r="U523" s="91"/>
      <c r="V523" s="91"/>
      <c r="W523" s="91"/>
    </row>
    <row r="524" spans="2:23" ht="14.4" hidden="1" outlineLevel="1" x14ac:dyDescent="0.3">
      <c r="B524" s="425">
        <f t="shared" si="15"/>
        <v>70</v>
      </c>
      <c r="C524" s="95" t="s">
        <v>456</v>
      </c>
      <c r="D524" s="474"/>
      <c r="E524" s="474"/>
      <c r="F524" s="91"/>
      <c r="G524" s="91"/>
      <c r="H524" s="91"/>
      <c r="I524" s="91"/>
      <c r="J524" s="91"/>
      <c r="K524" s="91"/>
      <c r="L524" s="91"/>
      <c r="M524" s="91"/>
      <c r="N524" s="91"/>
      <c r="O524" s="91"/>
      <c r="P524" s="91"/>
      <c r="Q524" s="91"/>
      <c r="R524" s="91"/>
      <c r="S524" s="91"/>
      <c r="T524" s="91"/>
      <c r="U524" s="91"/>
      <c r="V524" s="91"/>
      <c r="W524" s="91"/>
    </row>
    <row r="525" spans="2:23" ht="14.4" hidden="1" outlineLevel="1" x14ac:dyDescent="0.3">
      <c r="B525" s="425">
        <f t="shared" si="15"/>
        <v>71</v>
      </c>
      <c r="C525" s="95" t="s">
        <v>456</v>
      </c>
      <c r="D525" s="474"/>
      <c r="E525" s="474"/>
      <c r="F525" s="91"/>
      <c r="G525" s="91"/>
      <c r="H525" s="91"/>
      <c r="I525" s="91"/>
      <c r="J525" s="91"/>
      <c r="K525" s="91"/>
      <c r="L525" s="91"/>
      <c r="M525" s="91"/>
      <c r="N525" s="91"/>
      <c r="O525" s="91"/>
      <c r="P525" s="91"/>
      <c r="Q525" s="91"/>
      <c r="R525" s="91"/>
      <c r="S525" s="91"/>
      <c r="T525" s="91"/>
      <c r="U525" s="91"/>
      <c r="V525" s="91"/>
      <c r="W525" s="91"/>
    </row>
    <row r="526" spans="2:23" ht="14.4" hidden="1" outlineLevel="1" x14ac:dyDescent="0.3">
      <c r="B526" s="425">
        <f t="shared" si="15"/>
        <v>72</v>
      </c>
      <c r="C526" s="95" t="s">
        <v>456</v>
      </c>
      <c r="D526" s="474"/>
      <c r="E526" s="474"/>
      <c r="F526" s="91"/>
      <c r="G526" s="91"/>
      <c r="H526" s="91"/>
      <c r="I526" s="91"/>
      <c r="J526" s="91"/>
      <c r="K526" s="91"/>
      <c r="L526" s="91"/>
      <c r="M526" s="91"/>
      <c r="N526" s="91"/>
      <c r="O526" s="91"/>
      <c r="P526" s="91"/>
      <c r="Q526" s="91"/>
      <c r="R526" s="91"/>
      <c r="S526" s="91"/>
      <c r="T526" s="91"/>
      <c r="U526" s="91"/>
      <c r="V526" s="91"/>
      <c r="W526" s="91"/>
    </row>
    <row r="527" spans="2:23" ht="14.4" hidden="1" outlineLevel="1" x14ac:dyDescent="0.3">
      <c r="B527" s="425">
        <f t="shared" si="15"/>
        <v>73</v>
      </c>
      <c r="C527" s="95" t="s">
        <v>456</v>
      </c>
      <c r="D527" s="474"/>
      <c r="E527" s="474"/>
      <c r="F527" s="91"/>
      <c r="G527" s="91"/>
      <c r="H527" s="91"/>
      <c r="I527" s="91"/>
      <c r="J527" s="91"/>
      <c r="K527" s="91"/>
      <c r="L527" s="91"/>
      <c r="M527" s="91"/>
      <c r="N527" s="91"/>
      <c r="O527" s="91"/>
      <c r="P527" s="91"/>
      <c r="Q527" s="91"/>
      <c r="R527" s="91"/>
      <c r="S527" s="91"/>
      <c r="T527" s="91"/>
      <c r="U527" s="91"/>
      <c r="V527" s="91"/>
      <c r="W527" s="91"/>
    </row>
    <row r="528" spans="2:23" ht="14.4" hidden="1" outlineLevel="1" x14ac:dyDescent="0.3">
      <c r="B528" s="425">
        <f t="shared" si="15"/>
        <v>74</v>
      </c>
      <c r="C528" s="95" t="s">
        <v>456</v>
      </c>
      <c r="D528" s="474"/>
      <c r="E528" s="474"/>
      <c r="F528" s="91"/>
      <c r="G528" s="91"/>
      <c r="H528" s="91"/>
      <c r="I528" s="91"/>
      <c r="J528" s="91"/>
      <c r="K528" s="91"/>
      <c r="L528" s="91"/>
      <c r="M528" s="91"/>
      <c r="N528" s="91"/>
      <c r="O528" s="91"/>
      <c r="P528" s="91"/>
      <c r="Q528" s="91"/>
      <c r="R528" s="91"/>
      <c r="S528" s="91"/>
      <c r="T528" s="91"/>
      <c r="U528" s="91"/>
      <c r="V528" s="91"/>
      <c r="W528" s="91"/>
    </row>
    <row r="529" spans="2:43" ht="14.4" hidden="1" outlineLevel="1" x14ac:dyDescent="0.3">
      <c r="B529" s="425">
        <f t="shared" si="15"/>
        <v>75</v>
      </c>
      <c r="C529" s="95" t="s">
        <v>456</v>
      </c>
      <c r="D529" s="474"/>
      <c r="E529" s="474"/>
      <c r="F529" s="91"/>
      <c r="G529" s="91"/>
      <c r="H529" s="91"/>
      <c r="I529" s="91"/>
      <c r="J529" s="91"/>
      <c r="K529" s="91"/>
      <c r="L529" s="91"/>
      <c r="M529" s="91"/>
      <c r="N529" s="91"/>
      <c r="O529" s="91"/>
      <c r="P529" s="91"/>
      <c r="Q529" s="91"/>
      <c r="R529" s="91"/>
      <c r="S529" s="91"/>
      <c r="T529" s="91"/>
      <c r="U529" s="91"/>
      <c r="V529" s="91"/>
      <c r="W529" s="91"/>
    </row>
    <row r="530" spans="2:43" ht="14.4" hidden="1" outlineLevel="1" x14ac:dyDescent="0.3">
      <c r="B530" s="425">
        <f t="shared" si="15"/>
        <v>76</v>
      </c>
      <c r="C530" s="95" t="s">
        <v>456</v>
      </c>
      <c r="D530" s="474"/>
      <c r="E530" s="474"/>
      <c r="F530" s="91"/>
      <c r="G530" s="91"/>
      <c r="H530" s="91"/>
      <c r="I530" s="91"/>
      <c r="J530" s="91"/>
      <c r="K530" s="91"/>
      <c r="L530" s="91"/>
      <c r="M530" s="91"/>
      <c r="N530" s="91"/>
      <c r="O530" s="91"/>
      <c r="P530" s="91"/>
      <c r="Q530" s="91"/>
      <c r="R530" s="91"/>
      <c r="S530" s="91"/>
      <c r="T530" s="91"/>
      <c r="U530" s="91"/>
      <c r="V530" s="91"/>
      <c r="W530" s="91"/>
    </row>
    <row r="531" spans="2:43" ht="14.4" hidden="1" outlineLevel="1" x14ac:dyDescent="0.3">
      <c r="B531" s="425">
        <f t="shared" si="15"/>
        <v>77</v>
      </c>
      <c r="C531" s="95" t="s">
        <v>456</v>
      </c>
      <c r="D531" s="474"/>
      <c r="E531" s="474"/>
      <c r="F531" s="91"/>
      <c r="G531" s="91"/>
      <c r="H531" s="91"/>
      <c r="I531" s="91"/>
      <c r="J531" s="91"/>
      <c r="K531" s="91"/>
      <c r="L531" s="91"/>
      <c r="M531" s="91"/>
      <c r="N531" s="91"/>
      <c r="O531" s="91"/>
      <c r="P531" s="91"/>
      <c r="Q531" s="91"/>
      <c r="R531" s="91"/>
      <c r="S531" s="91"/>
      <c r="T531" s="91"/>
      <c r="U531" s="91"/>
      <c r="V531" s="91"/>
      <c r="W531" s="91"/>
    </row>
    <row r="532" spans="2:43" ht="14.4" hidden="1" outlineLevel="1" x14ac:dyDescent="0.3">
      <c r="B532" s="425">
        <f t="shared" si="15"/>
        <v>78</v>
      </c>
      <c r="C532" s="95" t="s">
        <v>456</v>
      </c>
      <c r="D532" s="474"/>
      <c r="E532" s="474"/>
      <c r="F532" s="91"/>
      <c r="G532" s="91"/>
      <c r="H532" s="91"/>
      <c r="I532" s="91"/>
      <c r="J532" s="91"/>
      <c r="K532" s="91"/>
      <c r="L532" s="91"/>
      <c r="M532" s="91"/>
      <c r="N532" s="91"/>
      <c r="O532" s="91"/>
      <c r="P532" s="91"/>
      <c r="Q532" s="91"/>
      <c r="R532" s="91"/>
      <c r="S532" s="91"/>
      <c r="T532" s="91"/>
      <c r="U532" s="91"/>
      <c r="V532" s="91"/>
      <c r="W532" s="91"/>
    </row>
    <row r="533" spans="2:43" ht="14.4" hidden="1" outlineLevel="1" x14ac:dyDescent="0.3">
      <c r="B533" s="425">
        <f t="shared" si="15"/>
        <v>79</v>
      </c>
      <c r="C533" s="95" t="s">
        <v>456</v>
      </c>
      <c r="D533" s="474"/>
      <c r="E533" s="474"/>
      <c r="F533" s="91"/>
      <c r="G533" s="91"/>
      <c r="H533" s="91"/>
      <c r="I533" s="91"/>
      <c r="J533" s="91"/>
      <c r="K533" s="91"/>
      <c r="L533" s="91"/>
      <c r="M533" s="91"/>
      <c r="N533" s="91"/>
      <c r="O533" s="91"/>
      <c r="P533" s="91"/>
      <c r="Q533" s="91"/>
      <c r="R533" s="91"/>
      <c r="S533" s="91"/>
      <c r="T533" s="91"/>
      <c r="U533" s="91"/>
      <c r="V533" s="91"/>
      <c r="W533" s="91"/>
    </row>
    <row r="534" spans="2:43" ht="14.4" collapsed="1" x14ac:dyDescent="0.3">
      <c r="B534" s="425">
        <f t="shared" si="15"/>
        <v>80</v>
      </c>
      <c r="C534" s="95" t="s">
        <v>456</v>
      </c>
      <c r="D534" s="474"/>
      <c r="E534" s="474"/>
      <c r="F534" s="91"/>
      <c r="G534" s="91"/>
      <c r="H534" s="91"/>
      <c r="I534" s="91"/>
      <c r="J534" s="91"/>
      <c r="K534" s="91"/>
      <c r="L534" s="91"/>
      <c r="M534" s="91"/>
      <c r="N534" s="91"/>
      <c r="O534" s="91"/>
      <c r="P534" s="91"/>
      <c r="Q534" s="91"/>
      <c r="R534" s="91"/>
      <c r="S534" s="91"/>
      <c r="T534" s="91"/>
      <c r="U534" s="91"/>
      <c r="V534" s="91"/>
      <c r="W534" s="91"/>
    </row>
    <row r="535" spans="2:43" x14ac:dyDescent="0.2">
      <c r="B535" s="252"/>
      <c r="C535" s="468"/>
    </row>
    <row r="536" spans="2:43" x14ac:dyDescent="0.2">
      <c r="B536" s="252"/>
      <c r="C536" s="252" t="s">
        <v>956</v>
      </c>
    </row>
    <row r="537" spans="2:43" x14ac:dyDescent="0.2">
      <c r="B537" s="252"/>
      <c r="C537" s="468"/>
    </row>
    <row r="538" spans="2:43" ht="15.6" x14ac:dyDescent="0.2">
      <c r="C538" s="469" t="s">
        <v>854</v>
      </c>
      <c r="D538" s="437"/>
      <c r="E538" s="437"/>
      <c r="F538" s="437"/>
      <c r="G538" s="438"/>
    </row>
    <row r="539" spans="2:43" x14ac:dyDescent="0.2">
      <c r="C539" s="252"/>
    </row>
    <row r="540" spans="2:43" ht="36" x14ac:dyDescent="0.2">
      <c r="B540" s="252"/>
      <c r="C540" s="96" t="s">
        <v>974</v>
      </c>
      <c r="D540" s="478" t="s">
        <v>994</v>
      </c>
      <c r="E540" s="479" t="s">
        <v>975</v>
      </c>
      <c r="F540" s="562" t="s">
        <v>976</v>
      </c>
      <c r="G540" s="563"/>
      <c r="H540" s="563"/>
      <c r="I540" s="564"/>
      <c r="J540" s="574" t="s">
        <v>977</v>
      </c>
      <c r="K540" s="574"/>
      <c r="L540" s="480" t="s">
        <v>978</v>
      </c>
      <c r="M540" s="481" t="s">
        <v>1001</v>
      </c>
      <c r="N540" s="562" t="s">
        <v>979</v>
      </c>
      <c r="O540" s="563"/>
      <c r="P540" s="563"/>
      <c r="Q540" s="563"/>
      <c r="R540" s="563"/>
      <c r="S540" s="563"/>
      <c r="T540" s="563"/>
      <c r="U540" s="564"/>
      <c r="V540" s="482" t="s">
        <v>980</v>
      </c>
      <c r="W540" s="482"/>
      <c r="X540" s="482" t="s">
        <v>995</v>
      </c>
      <c r="Y540" s="482" t="s">
        <v>975</v>
      </c>
      <c r="Z540" s="574" t="s">
        <v>976</v>
      </c>
      <c r="AA540" s="574"/>
      <c r="AB540" s="574"/>
      <c r="AC540" s="574"/>
      <c r="AD540" s="575" t="s">
        <v>977</v>
      </c>
      <c r="AE540" s="575"/>
      <c r="AF540" s="480" t="s">
        <v>978</v>
      </c>
      <c r="AG540" s="481" t="s">
        <v>1008</v>
      </c>
      <c r="AH540" s="562" t="s">
        <v>979</v>
      </c>
      <c r="AI540" s="563"/>
      <c r="AJ540" s="563"/>
      <c r="AK540" s="563"/>
      <c r="AL540" s="563"/>
      <c r="AM540" s="563"/>
      <c r="AN540" s="563"/>
      <c r="AO540" s="564"/>
      <c r="AP540" s="479" t="s">
        <v>980</v>
      </c>
      <c r="AQ540" s="479"/>
    </row>
    <row r="541" spans="2:43" ht="60" x14ac:dyDescent="0.2">
      <c r="B541" s="252"/>
      <c r="C541" s="418" t="s">
        <v>456</v>
      </c>
      <c r="D541" s="461" t="s">
        <v>996</v>
      </c>
      <c r="E541" s="461" t="s">
        <v>975</v>
      </c>
      <c r="F541" s="461" t="s">
        <v>981</v>
      </c>
      <c r="G541" s="461" t="s">
        <v>982</v>
      </c>
      <c r="H541" s="461" t="s">
        <v>983</v>
      </c>
      <c r="I541" s="473" t="s">
        <v>984</v>
      </c>
      <c r="J541" s="418" t="s">
        <v>977</v>
      </c>
      <c r="K541" s="418" t="s">
        <v>985</v>
      </c>
      <c r="L541" s="461" t="s">
        <v>733</v>
      </c>
      <c r="M541" s="461" t="s">
        <v>1002</v>
      </c>
      <c r="N541" s="461" t="s">
        <v>986</v>
      </c>
      <c r="O541" s="461" t="s">
        <v>987</v>
      </c>
      <c r="P541" s="461" t="s">
        <v>1026</v>
      </c>
      <c r="Q541" s="461" t="s">
        <v>1027</v>
      </c>
      <c r="R541" s="461" t="s">
        <v>988</v>
      </c>
      <c r="S541" s="461" t="s">
        <v>989</v>
      </c>
      <c r="T541" s="461" t="s">
        <v>1003</v>
      </c>
      <c r="U541" s="461" t="s">
        <v>990</v>
      </c>
      <c r="V541" s="461" t="s">
        <v>991</v>
      </c>
      <c r="W541" s="461" t="s">
        <v>992</v>
      </c>
      <c r="X541" s="461" t="s">
        <v>997</v>
      </c>
      <c r="Y541" s="461" t="s">
        <v>975</v>
      </c>
      <c r="Z541" s="461" t="s">
        <v>981</v>
      </c>
      <c r="AA541" s="461" t="s">
        <v>982</v>
      </c>
      <c r="AB541" s="461" t="s">
        <v>983</v>
      </c>
      <c r="AC541" s="483" t="s">
        <v>984</v>
      </c>
      <c r="AD541" s="418" t="s">
        <v>977</v>
      </c>
      <c r="AE541" s="418" t="s">
        <v>985</v>
      </c>
      <c r="AF541" s="461" t="s">
        <v>733</v>
      </c>
      <c r="AG541" s="461" t="s">
        <v>1002</v>
      </c>
      <c r="AH541" s="461" t="s">
        <v>986</v>
      </c>
      <c r="AI541" s="461" t="s">
        <v>987</v>
      </c>
      <c r="AJ541" s="461" t="s">
        <v>1026</v>
      </c>
      <c r="AK541" s="461" t="s">
        <v>1027</v>
      </c>
      <c r="AL541" s="461" t="s">
        <v>988</v>
      </c>
      <c r="AM541" s="461" t="s">
        <v>989</v>
      </c>
      <c r="AN541" s="461" t="s">
        <v>1003</v>
      </c>
      <c r="AO541" s="461" t="s">
        <v>990</v>
      </c>
      <c r="AP541" s="461" t="s">
        <v>991</v>
      </c>
      <c r="AQ541" s="461" t="s">
        <v>992</v>
      </c>
    </row>
    <row r="542" spans="2:43" ht="14.4" x14ac:dyDescent="0.3">
      <c r="B542" s="425">
        <v>1</v>
      </c>
      <c r="C542" s="95" t="s">
        <v>456</v>
      </c>
      <c r="D542" s="474"/>
      <c r="E542" s="474"/>
      <c r="F542" s="91"/>
      <c r="G542" s="91"/>
      <c r="H542" s="91"/>
      <c r="I542" s="91"/>
      <c r="J542" s="427"/>
      <c r="K542" s="427"/>
      <c r="L542" s="91"/>
      <c r="M542" s="91"/>
      <c r="N542" s="91"/>
      <c r="O542" s="91"/>
      <c r="P542" s="91"/>
      <c r="Q542" s="91"/>
      <c r="R542" s="91"/>
      <c r="S542" s="91"/>
      <c r="T542" s="91"/>
      <c r="U542" s="91"/>
      <c r="V542" s="91"/>
      <c r="W542" s="91"/>
      <c r="X542" s="474"/>
      <c r="Y542" s="474"/>
      <c r="Z542" s="91"/>
      <c r="AA542" s="91"/>
      <c r="AB542" s="91"/>
      <c r="AC542" s="91"/>
      <c r="AD542" s="427"/>
      <c r="AE542" s="427"/>
      <c r="AF542" s="91"/>
      <c r="AG542" s="91"/>
      <c r="AH542" s="91"/>
      <c r="AI542" s="91"/>
      <c r="AJ542" s="91"/>
      <c r="AK542" s="91"/>
      <c r="AL542" s="91"/>
      <c r="AM542" s="91"/>
      <c r="AN542" s="91"/>
      <c r="AO542" s="91"/>
      <c r="AP542" s="91"/>
      <c r="AQ542" s="91"/>
    </row>
    <row r="543" spans="2:43" ht="14.4" x14ac:dyDescent="0.3">
      <c r="B543" s="425">
        <f>1+B542</f>
        <v>2</v>
      </c>
      <c r="C543" s="95" t="s">
        <v>456</v>
      </c>
      <c r="D543" s="474"/>
      <c r="E543" s="474"/>
      <c r="F543" s="91"/>
      <c r="G543" s="91"/>
      <c r="H543" s="91"/>
      <c r="I543" s="91"/>
      <c r="J543" s="91"/>
      <c r="K543" s="91"/>
      <c r="L543" s="91"/>
      <c r="M543" s="91"/>
      <c r="N543" s="91"/>
      <c r="O543" s="91"/>
      <c r="P543" s="91"/>
      <c r="Q543" s="91"/>
      <c r="R543" s="91"/>
      <c r="S543" s="91"/>
      <c r="T543" s="91"/>
      <c r="U543" s="91"/>
      <c r="V543" s="91"/>
      <c r="W543" s="91"/>
      <c r="X543" s="474"/>
      <c r="Y543" s="474"/>
      <c r="Z543" s="91"/>
      <c r="AA543" s="91"/>
      <c r="AB543" s="91"/>
      <c r="AC543" s="91"/>
      <c r="AD543" s="91"/>
      <c r="AE543" s="91"/>
      <c r="AF543" s="91"/>
      <c r="AG543" s="91"/>
      <c r="AH543" s="91"/>
      <c r="AI543" s="91"/>
      <c r="AJ543" s="91"/>
      <c r="AK543" s="91"/>
      <c r="AL543" s="91"/>
      <c r="AM543" s="91"/>
      <c r="AN543" s="91"/>
      <c r="AO543" s="91"/>
      <c r="AP543" s="91"/>
      <c r="AQ543" s="91"/>
    </row>
    <row r="544" spans="2:43" ht="14.4" x14ac:dyDescent="0.3">
      <c r="B544" s="425">
        <f t="shared" ref="B544:B607" si="16">1+B543</f>
        <v>3</v>
      </c>
      <c r="C544" s="95" t="s">
        <v>456</v>
      </c>
      <c r="D544" s="474"/>
      <c r="E544" s="474"/>
      <c r="F544" s="91"/>
      <c r="G544" s="91"/>
      <c r="H544" s="91"/>
      <c r="I544" s="91"/>
      <c r="J544" s="91"/>
      <c r="K544" s="91"/>
      <c r="L544" s="91"/>
      <c r="M544" s="91"/>
      <c r="N544" s="91"/>
      <c r="O544" s="91"/>
      <c r="P544" s="91"/>
      <c r="Q544" s="91"/>
      <c r="R544" s="91"/>
      <c r="S544" s="91"/>
      <c r="T544" s="91"/>
      <c r="U544" s="91"/>
      <c r="V544" s="91"/>
      <c r="W544" s="91"/>
      <c r="X544" s="474"/>
      <c r="Y544" s="474"/>
      <c r="Z544" s="91"/>
      <c r="AA544" s="91"/>
      <c r="AB544" s="91"/>
      <c r="AC544" s="91"/>
      <c r="AD544" s="91"/>
      <c r="AE544" s="91"/>
      <c r="AF544" s="91"/>
      <c r="AG544" s="91"/>
      <c r="AH544" s="91"/>
      <c r="AI544" s="91"/>
      <c r="AJ544" s="91"/>
      <c r="AK544" s="91"/>
      <c r="AL544" s="91"/>
      <c r="AM544" s="91"/>
      <c r="AN544" s="91"/>
      <c r="AO544" s="91"/>
      <c r="AP544" s="91"/>
      <c r="AQ544" s="91"/>
    </row>
    <row r="545" spans="2:43" ht="14.4" x14ac:dyDescent="0.3">
      <c r="B545" s="425">
        <f t="shared" si="16"/>
        <v>4</v>
      </c>
      <c r="C545" s="95" t="s">
        <v>456</v>
      </c>
      <c r="D545" s="474"/>
      <c r="E545" s="474"/>
      <c r="F545" s="91"/>
      <c r="G545" s="91"/>
      <c r="H545" s="91"/>
      <c r="I545" s="91"/>
      <c r="J545" s="91"/>
      <c r="K545" s="91"/>
      <c r="L545" s="91"/>
      <c r="M545" s="91"/>
      <c r="N545" s="91"/>
      <c r="O545" s="91"/>
      <c r="P545" s="91"/>
      <c r="Q545" s="91"/>
      <c r="R545" s="91"/>
      <c r="S545" s="91"/>
      <c r="T545" s="91"/>
      <c r="U545" s="91"/>
      <c r="V545" s="91"/>
      <c r="W545" s="91"/>
      <c r="X545" s="474"/>
      <c r="Y545" s="474"/>
      <c r="Z545" s="91"/>
      <c r="AA545" s="91"/>
      <c r="AB545" s="91"/>
      <c r="AC545" s="91"/>
      <c r="AD545" s="91"/>
      <c r="AE545" s="91"/>
      <c r="AF545" s="91"/>
      <c r="AG545" s="91"/>
      <c r="AH545" s="91"/>
      <c r="AI545" s="91"/>
      <c r="AJ545" s="91"/>
      <c r="AK545" s="91"/>
      <c r="AL545" s="91"/>
      <c r="AM545" s="91"/>
      <c r="AN545" s="91"/>
      <c r="AO545" s="91"/>
      <c r="AP545" s="91"/>
      <c r="AQ545" s="91"/>
    </row>
    <row r="546" spans="2:43" ht="14.4" x14ac:dyDescent="0.3">
      <c r="B546" s="425">
        <f t="shared" si="16"/>
        <v>5</v>
      </c>
      <c r="C546" s="95" t="s">
        <v>456</v>
      </c>
      <c r="D546" s="474"/>
      <c r="E546" s="474"/>
      <c r="F546" s="91"/>
      <c r="G546" s="91"/>
      <c r="H546" s="91"/>
      <c r="I546" s="91"/>
      <c r="J546" s="91"/>
      <c r="K546" s="91"/>
      <c r="L546" s="91"/>
      <c r="M546" s="91"/>
      <c r="N546" s="91"/>
      <c r="O546" s="91"/>
      <c r="P546" s="91"/>
      <c r="Q546" s="91"/>
      <c r="R546" s="91"/>
      <c r="S546" s="91"/>
      <c r="T546" s="91"/>
      <c r="U546" s="91"/>
      <c r="V546" s="91"/>
      <c r="W546" s="91"/>
      <c r="X546" s="474"/>
      <c r="Y546" s="474"/>
      <c r="Z546" s="91"/>
      <c r="AA546" s="91"/>
      <c r="AB546" s="91"/>
      <c r="AC546" s="91"/>
      <c r="AD546" s="91"/>
      <c r="AE546" s="91"/>
      <c r="AF546" s="91"/>
      <c r="AG546" s="91"/>
      <c r="AH546" s="91"/>
      <c r="AI546" s="91"/>
      <c r="AJ546" s="91"/>
      <c r="AK546" s="91"/>
      <c r="AL546" s="91"/>
      <c r="AM546" s="91"/>
      <c r="AN546" s="91"/>
      <c r="AO546" s="91"/>
      <c r="AP546" s="91"/>
      <c r="AQ546" s="91"/>
    </row>
    <row r="547" spans="2:43" ht="14.4" x14ac:dyDescent="0.3">
      <c r="B547" s="425">
        <f t="shared" si="16"/>
        <v>6</v>
      </c>
      <c r="C547" s="95" t="s">
        <v>456</v>
      </c>
      <c r="D547" s="474"/>
      <c r="E547" s="474"/>
      <c r="F547" s="91"/>
      <c r="G547" s="91"/>
      <c r="H547" s="91"/>
      <c r="I547" s="91"/>
      <c r="J547" s="91"/>
      <c r="K547" s="91"/>
      <c r="L547" s="91"/>
      <c r="M547" s="91"/>
      <c r="N547" s="91"/>
      <c r="O547" s="91"/>
      <c r="P547" s="91"/>
      <c r="Q547" s="91"/>
      <c r="R547" s="91"/>
      <c r="S547" s="91"/>
      <c r="T547" s="91"/>
      <c r="U547" s="91"/>
      <c r="V547" s="91"/>
      <c r="W547" s="91"/>
      <c r="X547" s="474"/>
      <c r="Y547" s="474"/>
      <c r="Z547" s="91"/>
      <c r="AA547" s="91"/>
      <c r="AB547" s="91"/>
      <c r="AC547" s="91"/>
      <c r="AD547" s="91"/>
      <c r="AE547" s="91"/>
      <c r="AF547" s="91"/>
      <c r="AG547" s="91"/>
      <c r="AH547" s="91"/>
      <c r="AI547" s="91"/>
      <c r="AJ547" s="91"/>
      <c r="AK547" s="91"/>
      <c r="AL547" s="91"/>
      <c r="AM547" s="91"/>
      <c r="AN547" s="91"/>
      <c r="AO547" s="91"/>
      <c r="AP547" s="91"/>
      <c r="AQ547" s="91"/>
    </row>
    <row r="548" spans="2:43" ht="14.4" x14ac:dyDescent="0.3">
      <c r="B548" s="425">
        <f t="shared" si="16"/>
        <v>7</v>
      </c>
      <c r="C548" s="95" t="s">
        <v>456</v>
      </c>
      <c r="D548" s="474"/>
      <c r="E548" s="474"/>
      <c r="F548" s="91"/>
      <c r="G548" s="91"/>
      <c r="H548" s="91"/>
      <c r="I548" s="91"/>
      <c r="J548" s="91"/>
      <c r="K548" s="91"/>
      <c r="L548" s="91"/>
      <c r="M548" s="91"/>
      <c r="N548" s="91"/>
      <c r="O548" s="91"/>
      <c r="P548" s="91"/>
      <c r="Q548" s="91"/>
      <c r="R548" s="91"/>
      <c r="S548" s="91"/>
      <c r="T548" s="91"/>
      <c r="U548" s="91"/>
      <c r="V548" s="91"/>
      <c r="W548" s="91"/>
      <c r="X548" s="474"/>
      <c r="Y548" s="474"/>
      <c r="Z548" s="91"/>
      <c r="AA548" s="91"/>
      <c r="AB548" s="91"/>
      <c r="AC548" s="91"/>
      <c r="AD548" s="91"/>
      <c r="AE548" s="91"/>
      <c r="AF548" s="91"/>
      <c r="AG548" s="91"/>
      <c r="AH548" s="91"/>
      <c r="AI548" s="91"/>
      <c r="AJ548" s="91"/>
      <c r="AK548" s="91"/>
      <c r="AL548" s="91"/>
      <c r="AM548" s="91"/>
      <c r="AN548" s="91"/>
      <c r="AO548" s="91"/>
      <c r="AP548" s="91"/>
      <c r="AQ548" s="91"/>
    </row>
    <row r="549" spans="2:43" ht="14.4" x14ac:dyDescent="0.3">
      <c r="B549" s="425">
        <f t="shared" si="16"/>
        <v>8</v>
      </c>
      <c r="C549" s="95" t="s">
        <v>456</v>
      </c>
      <c r="D549" s="474"/>
      <c r="E549" s="474"/>
      <c r="F549" s="91"/>
      <c r="G549" s="91"/>
      <c r="H549" s="91"/>
      <c r="I549" s="91"/>
      <c r="J549" s="91"/>
      <c r="K549" s="91"/>
      <c r="L549" s="91"/>
      <c r="M549" s="91"/>
      <c r="N549" s="91"/>
      <c r="O549" s="91"/>
      <c r="P549" s="91"/>
      <c r="Q549" s="91"/>
      <c r="R549" s="91"/>
      <c r="S549" s="91"/>
      <c r="T549" s="91"/>
      <c r="U549" s="91"/>
      <c r="V549" s="91"/>
      <c r="W549" s="91"/>
      <c r="X549" s="474"/>
      <c r="Y549" s="474"/>
      <c r="Z549" s="91"/>
      <c r="AA549" s="91"/>
      <c r="AB549" s="91"/>
      <c r="AC549" s="91"/>
      <c r="AD549" s="91"/>
      <c r="AE549" s="91"/>
      <c r="AF549" s="91"/>
      <c r="AG549" s="91"/>
      <c r="AH549" s="91"/>
      <c r="AI549" s="91"/>
      <c r="AJ549" s="91"/>
      <c r="AK549" s="91"/>
      <c r="AL549" s="91"/>
      <c r="AM549" s="91"/>
      <c r="AN549" s="91"/>
      <c r="AO549" s="91"/>
      <c r="AP549" s="91"/>
      <c r="AQ549" s="91"/>
    </row>
    <row r="550" spans="2:43" ht="14.4" x14ac:dyDescent="0.3">
      <c r="B550" s="425">
        <f t="shared" si="16"/>
        <v>9</v>
      </c>
      <c r="C550" s="95" t="s">
        <v>456</v>
      </c>
      <c r="D550" s="474"/>
      <c r="E550" s="474"/>
      <c r="F550" s="91"/>
      <c r="G550" s="91"/>
      <c r="H550" s="91"/>
      <c r="I550" s="91"/>
      <c r="J550" s="91"/>
      <c r="K550" s="91"/>
      <c r="L550" s="91"/>
      <c r="M550" s="91"/>
      <c r="N550" s="91"/>
      <c r="O550" s="91"/>
      <c r="P550" s="91"/>
      <c r="Q550" s="91"/>
      <c r="R550" s="91"/>
      <c r="S550" s="91"/>
      <c r="T550" s="91"/>
      <c r="U550" s="91"/>
      <c r="V550" s="91"/>
      <c r="W550" s="91"/>
      <c r="X550" s="474"/>
      <c r="Y550" s="474"/>
      <c r="Z550" s="91"/>
      <c r="AA550" s="91"/>
      <c r="AB550" s="91"/>
      <c r="AC550" s="91"/>
      <c r="AD550" s="91"/>
      <c r="AE550" s="91"/>
      <c r="AF550" s="91"/>
      <c r="AG550" s="91"/>
      <c r="AH550" s="91"/>
      <c r="AI550" s="91"/>
      <c r="AJ550" s="91"/>
      <c r="AK550" s="91"/>
      <c r="AL550" s="91"/>
      <c r="AM550" s="91"/>
      <c r="AN550" s="91"/>
      <c r="AO550" s="91"/>
      <c r="AP550" s="91"/>
      <c r="AQ550" s="91"/>
    </row>
    <row r="551" spans="2:43" ht="14.7" hidden="1" customHeight="1" outlineLevel="1" x14ac:dyDescent="0.3">
      <c r="B551" s="425">
        <f t="shared" si="16"/>
        <v>10</v>
      </c>
      <c r="C551" s="95" t="s">
        <v>456</v>
      </c>
      <c r="D551" s="474"/>
      <c r="E551" s="474"/>
      <c r="F551" s="91"/>
      <c r="G551" s="91"/>
      <c r="H551" s="91"/>
      <c r="I551" s="91"/>
      <c r="J551" s="91"/>
      <c r="K551" s="91"/>
      <c r="L551" s="91"/>
      <c r="M551" s="91"/>
      <c r="N551" s="91"/>
      <c r="O551" s="91"/>
      <c r="P551" s="91"/>
      <c r="Q551" s="91"/>
      <c r="R551" s="91"/>
      <c r="S551" s="91"/>
      <c r="T551" s="91"/>
      <c r="U551" s="91"/>
      <c r="V551" s="91"/>
      <c r="W551" s="91"/>
      <c r="X551" s="474"/>
      <c r="Y551" s="474"/>
      <c r="Z551" s="91"/>
      <c r="AA551" s="91"/>
      <c r="AB551" s="91"/>
      <c r="AC551" s="91"/>
      <c r="AD551" s="91"/>
      <c r="AE551" s="91"/>
      <c r="AF551" s="91"/>
      <c r="AG551" s="91"/>
      <c r="AH551" s="91"/>
      <c r="AI551" s="91"/>
      <c r="AJ551" s="91"/>
      <c r="AK551" s="91"/>
      <c r="AL551" s="91"/>
      <c r="AM551" s="91"/>
      <c r="AN551" s="91"/>
      <c r="AO551" s="91"/>
      <c r="AP551" s="91"/>
      <c r="AQ551" s="91"/>
    </row>
    <row r="552" spans="2:43" ht="14.7" hidden="1" customHeight="1" outlineLevel="1" x14ac:dyDescent="0.3">
      <c r="B552" s="425">
        <f t="shared" si="16"/>
        <v>11</v>
      </c>
      <c r="C552" s="95" t="s">
        <v>456</v>
      </c>
      <c r="D552" s="474"/>
      <c r="E552" s="474"/>
      <c r="F552" s="91"/>
      <c r="G552" s="91"/>
      <c r="H552" s="91"/>
      <c r="I552" s="91"/>
      <c r="J552" s="91"/>
      <c r="K552" s="91"/>
      <c r="L552" s="91"/>
      <c r="M552" s="91"/>
      <c r="N552" s="91"/>
      <c r="O552" s="91"/>
      <c r="P552" s="91"/>
      <c r="Q552" s="91"/>
      <c r="R552" s="91"/>
      <c r="S552" s="91"/>
      <c r="T552" s="91"/>
      <c r="U552" s="91"/>
      <c r="V552" s="91"/>
      <c r="W552" s="91"/>
      <c r="X552" s="474"/>
      <c r="Y552" s="474"/>
      <c r="Z552" s="91"/>
      <c r="AA552" s="91"/>
      <c r="AB552" s="91"/>
      <c r="AC552" s="91"/>
      <c r="AD552" s="91"/>
      <c r="AE552" s="91"/>
      <c r="AF552" s="91"/>
      <c r="AG552" s="91"/>
      <c r="AH552" s="91"/>
      <c r="AI552" s="91"/>
      <c r="AJ552" s="91"/>
      <c r="AK552" s="91"/>
      <c r="AL552" s="91"/>
      <c r="AM552" s="91"/>
      <c r="AN552" s="91"/>
      <c r="AO552" s="91"/>
      <c r="AP552" s="91"/>
      <c r="AQ552" s="91"/>
    </row>
    <row r="553" spans="2:43" ht="14.7" hidden="1" customHeight="1" outlineLevel="1" x14ac:dyDescent="0.3">
      <c r="B553" s="425">
        <f t="shared" si="16"/>
        <v>12</v>
      </c>
      <c r="C553" s="95" t="s">
        <v>456</v>
      </c>
      <c r="D553" s="474"/>
      <c r="E553" s="474"/>
      <c r="F553" s="91"/>
      <c r="G553" s="91"/>
      <c r="H553" s="91"/>
      <c r="I553" s="91"/>
      <c r="J553" s="91"/>
      <c r="K553" s="91"/>
      <c r="L553" s="91"/>
      <c r="M553" s="91"/>
      <c r="N553" s="91"/>
      <c r="O553" s="91"/>
      <c r="P553" s="91"/>
      <c r="Q553" s="91"/>
      <c r="R553" s="91"/>
      <c r="S553" s="91"/>
      <c r="T553" s="91"/>
      <c r="U553" s="91"/>
      <c r="V553" s="91"/>
      <c r="W553" s="91"/>
      <c r="X553" s="474"/>
      <c r="Y553" s="474"/>
      <c r="Z553" s="91"/>
      <c r="AA553" s="91"/>
      <c r="AB553" s="91"/>
      <c r="AC553" s="91"/>
      <c r="AD553" s="91"/>
      <c r="AE553" s="91"/>
      <c r="AF553" s="91"/>
      <c r="AG553" s="91"/>
      <c r="AH553" s="91"/>
      <c r="AI553" s="91"/>
      <c r="AJ553" s="91"/>
      <c r="AK553" s="91"/>
      <c r="AL553" s="91"/>
      <c r="AM553" s="91"/>
      <c r="AN553" s="91"/>
      <c r="AO553" s="91"/>
      <c r="AP553" s="91"/>
      <c r="AQ553" s="91"/>
    </row>
    <row r="554" spans="2:43" ht="14.7" hidden="1" customHeight="1" outlineLevel="1" x14ac:dyDescent="0.3">
      <c r="B554" s="425">
        <f t="shared" si="16"/>
        <v>13</v>
      </c>
      <c r="C554" s="95" t="s">
        <v>456</v>
      </c>
      <c r="D554" s="474"/>
      <c r="E554" s="474"/>
      <c r="F554" s="91"/>
      <c r="G554" s="91"/>
      <c r="H554" s="91"/>
      <c r="I554" s="91"/>
      <c r="J554" s="91"/>
      <c r="K554" s="91"/>
      <c r="L554" s="91"/>
      <c r="M554" s="91"/>
      <c r="N554" s="91"/>
      <c r="O554" s="91"/>
      <c r="P554" s="91"/>
      <c r="Q554" s="91"/>
      <c r="R554" s="91"/>
      <c r="S554" s="91"/>
      <c r="T554" s="91"/>
      <c r="U554" s="91"/>
      <c r="V554" s="91"/>
      <c r="W554" s="91"/>
      <c r="X554" s="474"/>
      <c r="Y554" s="474"/>
      <c r="Z554" s="91"/>
      <c r="AA554" s="91"/>
      <c r="AB554" s="91"/>
      <c r="AC554" s="91"/>
      <c r="AD554" s="91"/>
      <c r="AE554" s="91"/>
      <c r="AF554" s="91"/>
      <c r="AG554" s="91"/>
      <c r="AH554" s="91"/>
      <c r="AI554" s="91"/>
      <c r="AJ554" s="91"/>
      <c r="AK554" s="91"/>
      <c r="AL554" s="91"/>
      <c r="AM554" s="91"/>
      <c r="AN554" s="91"/>
      <c r="AO554" s="91"/>
      <c r="AP554" s="91"/>
      <c r="AQ554" s="91"/>
    </row>
    <row r="555" spans="2:43" ht="14.7" hidden="1" customHeight="1" outlineLevel="1" x14ac:dyDescent="0.3">
      <c r="B555" s="425">
        <f t="shared" si="16"/>
        <v>14</v>
      </c>
      <c r="C555" s="95" t="s">
        <v>456</v>
      </c>
      <c r="D555" s="474"/>
      <c r="E555" s="474"/>
      <c r="F555" s="91"/>
      <c r="G555" s="91"/>
      <c r="H555" s="91"/>
      <c r="I555" s="91"/>
      <c r="J555" s="91"/>
      <c r="K555" s="91"/>
      <c r="L555" s="91"/>
      <c r="M555" s="91"/>
      <c r="N555" s="91"/>
      <c r="O555" s="91"/>
      <c r="P555" s="91"/>
      <c r="Q555" s="91"/>
      <c r="R555" s="91"/>
      <c r="S555" s="91"/>
      <c r="T555" s="91"/>
      <c r="U555" s="91"/>
      <c r="V555" s="91"/>
      <c r="W555" s="91"/>
      <c r="X555" s="474"/>
      <c r="Y555" s="474"/>
      <c r="Z555" s="91"/>
      <c r="AA555" s="91"/>
      <c r="AB555" s="91"/>
      <c r="AC555" s="91"/>
      <c r="AD555" s="91"/>
      <c r="AE555" s="91"/>
      <c r="AF555" s="91"/>
      <c r="AG555" s="91"/>
      <c r="AH555" s="91"/>
      <c r="AI555" s="91"/>
      <c r="AJ555" s="91"/>
      <c r="AK555" s="91"/>
      <c r="AL555" s="91"/>
      <c r="AM555" s="91"/>
      <c r="AN555" s="91"/>
      <c r="AO555" s="91"/>
      <c r="AP555" s="91"/>
      <c r="AQ555" s="91"/>
    </row>
    <row r="556" spans="2:43" ht="14.7" hidden="1" customHeight="1" outlineLevel="1" x14ac:dyDescent="0.3">
      <c r="B556" s="425">
        <f t="shared" si="16"/>
        <v>15</v>
      </c>
      <c r="C556" s="95" t="s">
        <v>456</v>
      </c>
      <c r="D556" s="474"/>
      <c r="E556" s="474"/>
      <c r="F556" s="91"/>
      <c r="G556" s="91"/>
      <c r="H556" s="91"/>
      <c r="I556" s="91"/>
      <c r="J556" s="91"/>
      <c r="K556" s="91"/>
      <c r="L556" s="91"/>
      <c r="M556" s="91"/>
      <c r="N556" s="91"/>
      <c r="O556" s="91"/>
      <c r="P556" s="91"/>
      <c r="Q556" s="91"/>
      <c r="R556" s="91"/>
      <c r="S556" s="91"/>
      <c r="T556" s="91"/>
      <c r="U556" s="91"/>
      <c r="V556" s="91"/>
      <c r="W556" s="91"/>
      <c r="X556" s="474"/>
      <c r="Y556" s="474"/>
      <c r="Z556" s="91"/>
      <c r="AA556" s="91"/>
      <c r="AB556" s="91"/>
      <c r="AC556" s="91"/>
      <c r="AD556" s="91"/>
      <c r="AE556" s="91"/>
      <c r="AF556" s="91"/>
      <c r="AG556" s="91"/>
      <c r="AH556" s="91"/>
      <c r="AI556" s="91"/>
      <c r="AJ556" s="91"/>
      <c r="AK556" s="91"/>
      <c r="AL556" s="91"/>
      <c r="AM556" s="91"/>
      <c r="AN556" s="91"/>
      <c r="AO556" s="91"/>
      <c r="AP556" s="91"/>
      <c r="AQ556" s="91"/>
    </row>
    <row r="557" spans="2:43" ht="14.7" hidden="1" customHeight="1" outlineLevel="1" x14ac:dyDescent="0.3">
      <c r="B557" s="425">
        <f t="shared" si="16"/>
        <v>16</v>
      </c>
      <c r="C557" s="95" t="s">
        <v>456</v>
      </c>
      <c r="D557" s="474"/>
      <c r="E557" s="474"/>
      <c r="F557" s="91"/>
      <c r="G557" s="91"/>
      <c r="H557" s="91"/>
      <c r="I557" s="91"/>
      <c r="J557" s="91"/>
      <c r="K557" s="91"/>
      <c r="L557" s="91"/>
      <c r="M557" s="91"/>
      <c r="N557" s="91"/>
      <c r="O557" s="91"/>
      <c r="P557" s="91"/>
      <c r="Q557" s="91"/>
      <c r="R557" s="91"/>
      <c r="S557" s="91"/>
      <c r="T557" s="91"/>
      <c r="U557" s="91"/>
      <c r="V557" s="91"/>
      <c r="W557" s="91"/>
      <c r="X557" s="474"/>
      <c r="Y557" s="474"/>
      <c r="Z557" s="91"/>
      <c r="AA557" s="91"/>
      <c r="AB557" s="91"/>
      <c r="AC557" s="91"/>
      <c r="AD557" s="91"/>
      <c r="AE557" s="91"/>
      <c r="AF557" s="91"/>
      <c r="AG557" s="91"/>
      <c r="AH557" s="91"/>
      <c r="AI557" s="91"/>
      <c r="AJ557" s="91"/>
      <c r="AK557" s="91"/>
      <c r="AL557" s="91"/>
      <c r="AM557" s="91"/>
      <c r="AN557" s="91"/>
      <c r="AO557" s="91"/>
      <c r="AP557" s="91"/>
      <c r="AQ557" s="91"/>
    </row>
    <row r="558" spans="2:43" ht="14.7" hidden="1" customHeight="1" outlineLevel="1" x14ac:dyDescent="0.3">
      <c r="B558" s="425">
        <f t="shared" si="16"/>
        <v>17</v>
      </c>
      <c r="C558" s="95" t="s">
        <v>456</v>
      </c>
      <c r="D558" s="474"/>
      <c r="E558" s="474"/>
      <c r="F558" s="91"/>
      <c r="G558" s="91"/>
      <c r="H558" s="91"/>
      <c r="I558" s="91"/>
      <c r="J558" s="91"/>
      <c r="K558" s="91"/>
      <c r="L558" s="91"/>
      <c r="M558" s="91"/>
      <c r="N558" s="91"/>
      <c r="O558" s="91"/>
      <c r="P558" s="91"/>
      <c r="Q558" s="91"/>
      <c r="R558" s="91"/>
      <c r="S558" s="91"/>
      <c r="T558" s="91"/>
      <c r="U558" s="91"/>
      <c r="V558" s="91"/>
      <c r="W558" s="91"/>
      <c r="X558" s="474"/>
      <c r="Y558" s="474"/>
      <c r="Z558" s="91"/>
      <c r="AA558" s="91"/>
      <c r="AB558" s="91"/>
      <c r="AC558" s="91"/>
      <c r="AD558" s="91"/>
      <c r="AE558" s="91"/>
      <c r="AF558" s="91"/>
      <c r="AG558" s="91"/>
      <c r="AH558" s="91"/>
      <c r="AI558" s="91"/>
      <c r="AJ558" s="91"/>
      <c r="AK558" s="91"/>
      <c r="AL558" s="91"/>
      <c r="AM558" s="91"/>
      <c r="AN558" s="91"/>
      <c r="AO558" s="91"/>
      <c r="AP558" s="91"/>
      <c r="AQ558" s="91"/>
    </row>
    <row r="559" spans="2:43" ht="14.7" hidden="1" customHeight="1" outlineLevel="1" x14ac:dyDescent="0.3">
      <c r="B559" s="425">
        <f t="shared" si="16"/>
        <v>18</v>
      </c>
      <c r="C559" s="95" t="s">
        <v>456</v>
      </c>
      <c r="D559" s="474"/>
      <c r="E559" s="474"/>
      <c r="F559" s="91"/>
      <c r="G559" s="91"/>
      <c r="H559" s="91"/>
      <c r="I559" s="91"/>
      <c r="J559" s="91"/>
      <c r="K559" s="91"/>
      <c r="L559" s="91"/>
      <c r="M559" s="91"/>
      <c r="N559" s="91"/>
      <c r="O559" s="91"/>
      <c r="P559" s="91"/>
      <c r="Q559" s="91"/>
      <c r="R559" s="91"/>
      <c r="S559" s="91"/>
      <c r="T559" s="91"/>
      <c r="U559" s="91"/>
      <c r="V559" s="91"/>
      <c r="W559" s="91"/>
      <c r="X559" s="474"/>
      <c r="Y559" s="474"/>
      <c r="Z559" s="91"/>
      <c r="AA559" s="91"/>
      <c r="AB559" s="91"/>
      <c r="AC559" s="91"/>
      <c r="AD559" s="91"/>
      <c r="AE559" s="91"/>
      <c r="AF559" s="91"/>
      <c r="AG559" s="91"/>
      <c r="AH559" s="91"/>
      <c r="AI559" s="91"/>
      <c r="AJ559" s="91"/>
      <c r="AK559" s="91"/>
      <c r="AL559" s="91"/>
      <c r="AM559" s="91"/>
      <c r="AN559" s="91"/>
      <c r="AO559" s="91"/>
      <c r="AP559" s="91"/>
      <c r="AQ559" s="91"/>
    </row>
    <row r="560" spans="2:43" ht="14.7" hidden="1" customHeight="1" outlineLevel="1" x14ac:dyDescent="0.3">
      <c r="B560" s="425">
        <f t="shared" si="16"/>
        <v>19</v>
      </c>
      <c r="C560" s="95" t="s">
        <v>456</v>
      </c>
      <c r="D560" s="474"/>
      <c r="E560" s="474"/>
      <c r="F560" s="91"/>
      <c r="G560" s="91"/>
      <c r="H560" s="91"/>
      <c r="I560" s="91"/>
      <c r="J560" s="91"/>
      <c r="K560" s="91"/>
      <c r="L560" s="91"/>
      <c r="M560" s="91"/>
      <c r="N560" s="91"/>
      <c r="O560" s="91"/>
      <c r="P560" s="91"/>
      <c r="Q560" s="91"/>
      <c r="R560" s="91"/>
      <c r="S560" s="91"/>
      <c r="T560" s="91"/>
      <c r="U560" s="91"/>
      <c r="V560" s="91"/>
      <c r="W560" s="91"/>
      <c r="X560" s="474"/>
      <c r="Y560" s="474"/>
      <c r="Z560" s="91"/>
      <c r="AA560" s="91"/>
      <c r="AB560" s="91"/>
      <c r="AC560" s="91"/>
      <c r="AD560" s="91"/>
      <c r="AE560" s="91"/>
      <c r="AF560" s="91"/>
      <c r="AG560" s="91"/>
      <c r="AH560" s="91"/>
      <c r="AI560" s="91"/>
      <c r="AJ560" s="91"/>
      <c r="AK560" s="91"/>
      <c r="AL560" s="91"/>
      <c r="AM560" s="91"/>
      <c r="AN560" s="91"/>
      <c r="AO560" s="91"/>
      <c r="AP560" s="91"/>
      <c r="AQ560" s="91"/>
    </row>
    <row r="561" spans="2:43" ht="14.7" hidden="1" customHeight="1" outlineLevel="1" x14ac:dyDescent="0.3">
      <c r="B561" s="425">
        <f t="shared" si="16"/>
        <v>20</v>
      </c>
      <c r="C561" s="95" t="s">
        <v>456</v>
      </c>
      <c r="D561" s="474"/>
      <c r="E561" s="474"/>
      <c r="F561" s="91"/>
      <c r="G561" s="91"/>
      <c r="H561" s="91"/>
      <c r="I561" s="91"/>
      <c r="J561" s="91"/>
      <c r="K561" s="91"/>
      <c r="L561" s="91"/>
      <c r="M561" s="91"/>
      <c r="N561" s="91"/>
      <c r="O561" s="91"/>
      <c r="P561" s="91"/>
      <c r="Q561" s="91"/>
      <c r="R561" s="91"/>
      <c r="S561" s="91"/>
      <c r="T561" s="91"/>
      <c r="U561" s="91"/>
      <c r="V561" s="91"/>
      <c r="W561" s="91"/>
      <c r="X561" s="474"/>
      <c r="Y561" s="474"/>
      <c r="Z561" s="91"/>
      <c r="AA561" s="91"/>
      <c r="AB561" s="91"/>
      <c r="AC561" s="91"/>
      <c r="AD561" s="91"/>
      <c r="AE561" s="91"/>
      <c r="AF561" s="91"/>
      <c r="AG561" s="91"/>
      <c r="AH561" s="91"/>
      <c r="AI561" s="91"/>
      <c r="AJ561" s="91"/>
      <c r="AK561" s="91"/>
      <c r="AL561" s="91"/>
      <c r="AM561" s="91"/>
      <c r="AN561" s="91"/>
      <c r="AO561" s="91"/>
      <c r="AP561" s="91"/>
      <c r="AQ561" s="91"/>
    </row>
    <row r="562" spans="2:43" ht="14.7" hidden="1" customHeight="1" outlineLevel="1" x14ac:dyDescent="0.3">
      <c r="B562" s="425">
        <f t="shared" si="16"/>
        <v>21</v>
      </c>
      <c r="C562" s="95" t="s">
        <v>456</v>
      </c>
      <c r="D562" s="474"/>
      <c r="E562" s="474"/>
      <c r="F562" s="91"/>
      <c r="G562" s="91"/>
      <c r="H562" s="91"/>
      <c r="I562" s="91"/>
      <c r="J562" s="91"/>
      <c r="K562" s="91"/>
      <c r="L562" s="91"/>
      <c r="M562" s="91"/>
      <c r="N562" s="91"/>
      <c r="O562" s="91"/>
      <c r="P562" s="91"/>
      <c r="Q562" s="91"/>
      <c r="R562" s="91"/>
      <c r="S562" s="91"/>
      <c r="T562" s="91"/>
      <c r="U562" s="91"/>
      <c r="V562" s="91"/>
      <c r="W562" s="91"/>
      <c r="X562" s="474"/>
      <c r="Y562" s="474"/>
      <c r="Z562" s="91"/>
      <c r="AA562" s="91"/>
      <c r="AB562" s="91"/>
      <c r="AC562" s="91"/>
      <c r="AD562" s="91"/>
      <c r="AE562" s="91"/>
      <c r="AF562" s="91"/>
      <c r="AG562" s="91"/>
      <c r="AH562" s="91"/>
      <c r="AI562" s="91"/>
      <c r="AJ562" s="91"/>
      <c r="AK562" s="91"/>
      <c r="AL562" s="91"/>
      <c r="AM562" s="91"/>
      <c r="AN562" s="91"/>
      <c r="AO562" s="91"/>
      <c r="AP562" s="91"/>
      <c r="AQ562" s="91"/>
    </row>
    <row r="563" spans="2:43" ht="14.7" hidden="1" customHeight="1" outlineLevel="1" x14ac:dyDescent="0.3">
      <c r="B563" s="425">
        <f t="shared" si="16"/>
        <v>22</v>
      </c>
      <c r="C563" s="95" t="s">
        <v>456</v>
      </c>
      <c r="D563" s="474"/>
      <c r="E563" s="474"/>
      <c r="F563" s="91"/>
      <c r="G563" s="91"/>
      <c r="H563" s="91"/>
      <c r="I563" s="91"/>
      <c r="J563" s="91"/>
      <c r="K563" s="91"/>
      <c r="L563" s="91"/>
      <c r="M563" s="91"/>
      <c r="N563" s="91"/>
      <c r="O563" s="91"/>
      <c r="P563" s="91"/>
      <c r="Q563" s="91"/>
      <c r="R563" s="91"/>
      <c r="S563" s="91"/>
      <c r="T563" s="91"/>
      <c r="U563" s="91"/>
      <c r="V563" s="91"/>
      <c r="W563" s="91"/>
      <c r="X563" s="474"/>
      <c r="Y563" s="474"/>
      <c r="Z563" s="91"/>
      <c r="AA563" s="91"/>
      <c r="AB563" s="91"/>
      <c r="AC563" s="91"/>
      <c r="AD563" s="91"/>
      <c r="AE563" s="91"/>
      <c r="AF563" s="91"/>
      <c r="AG563" s="91"/>
      <c r="AH563" s="91"/>
      <c r="AI563" s="91"/>
      <c r="AJ563" s="91"/>
      <c r="AK563" s="91"/>
      <c r="AL563" s="91"/>
      <c r="AM563" s="91"/>
      <c r="AN563" s="91"/>
      <c r="AO563" s="91"/>
      <c r="AP563" s="91"/>
      <c r="AQ563" s="91"/>
    </row>
    <row r="564" spans="2:43" ht="14.7" hidden="1" customHeight="1" outlineLevel="1" x14ac:dyDescent="0.3">
      <c r="B564" s="425">
        <f t="shared" si="16"/>
        <v>23</v>
      </c>
      <c r="C564" s="95" t="s">
        <v>456</v>
      </c>
      <c r="D564" s="474"/>
      <c r="E564" s="474"/>
      <c r="F564" s="91"/>
      <c r="G564" s="91"/>
      <c r="H564" s="91"/>
      <c r="I564" s="91"/>
      <c r="J564" s="91"/>
      <c r="K564" s="91"/>
      <c r="L564" s="91"/>
      <c r="M564" s="91"/>
      <c r="N564" s="91"/>
      <c r="O564" s="91"/>
      <c r="P564" s="91"/>
      <c r="Q564" s="91"/>
      <c r="R564" s="91"/>
      <c r="S564" s="91"/>
      <c r="T564" s="91"/>
      <c r="U564" s="91"/>
      <c r="V564" s="91"/>
      <c r="W564" s="91"/>
      <c r="X564" s="474"/>
      <c r="Y564" s="474"/>
      <c r="Z564" s="91"/>
      <c r="AA564" s="91"/>
      <c r="AB564" s="91"/>
      <c r="AC564" s="91"/>
      <c r="AD564" s="91"/>
      <c r="AE564" s="91"/>
      <c r="AF564" s="91"/>
      <c r="AG564" s="91"/>
      <c r="AH564" s="91"/>
      <c r="AI564" s="91"/>
      <c r="AJ564" s="91"/>
      <c r="AK564" s="91"/>
      <c r="AL564" s="91"/>
      <c r="AM564" s="91"/>
      <c r="AN564" s="91"/>
      <c r="AO564" s="91"/>
      <c r="AP564" s="91"/>
      <c r="AQ564" s="91"/>
    </row>
    <row r="565" spans="2:43" ht="14.7" hidden="1" customHeight="1" outlineLevel="1" x14ac:dyDescent="0.3">
      <c r="B565" s="425">
        <f t="shared" si="16"/>
        <v>24</v>
      </c>
      <c r="C565" s="95" t="s">
        <v>456</v>
      </c>
      <c r="D565" s="474"/>
      <c r="E565" s="474"/>
      <c r="F565" s="91"/>
      <c r="G565" s="91"/>
      <c r="H565" s="91"/>
      <c r="I565" s="91"/>
      <c r="J565" s="91"/>
      <c r="K565" s="91"/>
      <c r="L565" s="91"/>
      <c r="M565" s="91"/>
      <c r="N565" s="91"/>
      <c r="O565" s="91"/>
      <c r="P565" s="91"/>
      <c r="Q565" s="91"/>
      <c r="R565" s="91"/>
      <c r="S565" s="91"/>
      <c r="T565" s="91"/>
      <c r="U565" s="91"/>
      <c r="V565" s="91"/>
      <c r="W565" s="91"/>
      <c r="X565" s="474"/>
      <c r="Y565" s="474"/>
      <c r="Z565" s="91"/>
      <c r="AA565" s="91"/>
      <c r="AB565" s="91"/>
      <c r="AC565" s="91"/>
      <c r="AD565" s="91"/>
      <c r="AE565" s="91"/>
      <c r="AF565" s="91"/>
      <c r="AG565" s="91"/>
      <c r="AH565" s="91"/>
      <c r="AI565" s="91"/>
      <c r="AJ565" s="91"/>
      <c r="AK565" s="91"/>
      <c r="AL565" s="91"/>
      <c r="AM565" s="91"/>
      <c r="AN565" s="91"/>
      <c r="AO565" s="91"/>
      <c r="AP565" s="91"/>
      <c r="AQ565" s="91"/>
    </row>
    <row r="566" spans="2:43" ht="14.7" hidden="1" customHeight="1" outlineLevel="1" x14ac:dyDescent="0.3">
      <c r="B566" s="425">
        <f t="shared" si="16"/>
        <v>25</v>
      </c>
      <c r="C566" s="95" t="s">
        <v>456</v>
      </c>
      <c r="D566" s="474"/>
      <c r="E566" s="474"/>
      <c r="F566" s="91"/>
      <c r="G566" s="91"/>
      <c r="H566" s="91"/>
      <c r="I566" s="91"/>
      <c r="J566" s="91"/>
      <c r="K566" s="91"/>
      <c r="L566" s="91"/>
      <c r="M566" s="91"/>
      <c r="N566" s="91"/>
      <c r="O566" s="91"/>
      <c r="P566" s="91"/>
      <c r="Q566" s="91"/>
      <c r="R566" s="91"/>
      <c r="S566" s="91"/>
      <c r="T566" s="91"/>
      <c r="U566" s="91"/>
      <c r="V566" s="91"/>
      <c r="W566" s="91"/>
      <c r="X566" s="474"/>
      <c r="Y566" s="474"/>
      <c r="Z566" s="91"/>
      <c r="AA566" s="91"/>
      <c r="AB566" s="91"/>
      <c r="AC566" s="91"/>
      <c r="AD566" s="91"/>
      <c r="AE566" s="91"/>
      <c r="AF566" s="91"/>
      <c r="AG566" s="91"/>
      <c r="AH566" s="91"/>
      <c r="AI566" s="91"/>
      <c r="AJ566" s="91"/>
      <c r="AK566" s="91"/>
      <c r="AL566" s="91"/>
      <c r="AM566" s="91"/>
      <c r="AN566" s="91"/>
      <c r="AO566" s="91"/>
      <c r="AP566" s="91"/>
      <c r="AQ566" s="91"/>
    </row>
    <row r="567" spans="2:43" ht="14.7" hidden="1" customHeight="1" outlineLevel="1" x14ac:dyDescent="0.3">
      <c r="B567" s="425">
        <f t="shared" si="16"/>
        <v>26</v>
      </c>
      <c r="C567" s="95" t="s">
        <v>456</v>
      </c>
      <c r="D567" s="474"/>
      <c r="E567" s="474"/>
      <c r="F567" s="91"/>
      <c r="G567" s="91"/>
      <c r="H567" s="91"/>
      <c r="I567" s="91"/>
      <c r="J567" s="91"/>
      <c r="K567" s="91"/>
      <c r="L567" s="91"/>
      <c r="M567" s="91"/>
      <c r="N567" s="91"/>
      <c r="O567" s="91"/>
      <c r="P567" s="91"/>
      <c r="Q567" s="91"/>
      <c r="R567" s="91"/>
      <c r="S567" s="91"/>
      <c r="T567" s="91"/>
      <c r="U567" s="91"/>
      <c r="V567" s="91"/>
      <c r="W567" s="91"/>
      <c r="X567" s="474"/>
      <c r="Y567" s="474"/>
      <c r="Z567" s="91"/>
      <c r="AA567" s="91"/>
      <c r="AB567" s="91"/>
      <c r="AC567" s="91"/>
      <c r="AD567" s="91"/>
      <c r="AE567" s="91"/>
      <c r="AF567" s="91"/>
      <c r="AG567" s="91"/>
      <c r="AH567" s="91"/>
      <c r="AI567" s="91"/>
      <c r="AJ567" s="91"/>
      <c r="AK567" s="91"/>
      <c r="AL567" s="91"/>
      <c r="AM567" s="91"/>
      <c r="AN567" s="91"/>
      <c r="AO567" s="91"/>
      <c r="AP567" s="91"/>
      <c r="AQ567" s="91"/>
    </row>
    <row r="568" spans="2:43" ht="14.7" hidden="1" customHeight="1" outlineLevel="1" x14ac:dyDescent="0.3">
      <c r="B568" s="425">
        <f t="shared" si="16"/>
        <v>27</v>
      </c>
      <c r="C568" s="95" t="s">
        <v>456</v>
      </c>
      <c r="D568" s="474"/>
      <c r="E568" s="474"/>
      <c r="F568" s="91"/>
      <c r="G568" s="91"/>
      <c r="H568" s="91"/>
      <c r="I568" s="91"/>
      <c r="J568" s="91"/>
      <c r="K568" s="91"/>
      <c r="L568" s="91"/>
      <c r="M568" s="91"/>
      <c r="N568" s="91"/>
      <c r="O568" s="91"/>
      <c r="P568" s="91"/>
      <c r="Q568" s="91"/>
      <c r="R568" s="91"/>
      <c r="S568" s="91"/>
      <c r="T568" s="91"/>
      <c r="U568" s="91"/>
      <c r="V568" s="91"/>
      <c r="W568" s="91"/>
      <c r="X568" s="474"/>
      <c r="Y568" s="474"/>
      <c r="Z568" s="91"/>
      <c r="AA568" s="91"/>
      <c r="AB568" s="91"/>
      <c r="AC568" s="91"/>
      <c r="AD568" s="91"/>
      <c r="AE568" s="91"/>
      <c r="AF568" s="91"/>
      <c r="AG568" s="91"/>
      <c r="AH568" s="91"/>
      <c r="AI568" s="91"/>
      <c r="AJ568" s="91"/>
      <c r="AK568" s="91"/>
      <c r="AL568" s="91"/>
      <c r="AM568" s="91"/>
      <c r="AN568" s="91"/>
      <c r="AO568" s="91"/>
      <c r="AP568" s="91"/>
      <c r="AQ568" s="91"/>
    </row>
    <row r="569" spans="2:43" ht="14.7" hidden="1" customHeight="1" outlineLevel="1" x14ac:dyDescent="0.3">
      <c r="B569" s="425">
        <f t="shared" si="16"/>
        <v>28</v>
      </c>
      <c r="C569" s="95" t="s">
        <v>456</v>
      </c>
      <c r="D569" s="474"/>
      <c r="E569" s="474"/>
      <c r="F569" s="91"/>
      <c r="G569" s="91"/>
      <c r="H569" s="91"/>
      <c r="I569" s="91"/>
      <c r="J569" s="91"/>
      <c r="K569" s="91"/>
      <c r="L569" s="91"/>
      <c r="M569" s="91"/>
      <c r="N569" s="91"/>
      <c r="O569" s="91"/>
      <c r="P569" s="91"/>
      <c r="Q569" s="91"/>
      <c r="R569" s="91"/>
      <c r="S569" s="91"/>
      <c r="T569" s="91"/>
      <c r="U569" s="91"/>
      <c r="V569" s="91"/>
      <c r="W569" s="91"/>
      <c r="X569" s="474"/>
      <c r="Y569" s="474"/>
      <c r="Z569" s="91"/>
      <c r="AA569" s="91"/>
      <c r="AB569" s="91"/>
      <c r="AC569" s="91"/>
      <c r="AD569" s="91"/>
      <c r="AE569" s="91"/>
      <c r="AF569" s="91"/>
      <c r="AG569" s="91"/>
      <c r="AH569" s="91"/>
      <c r="AI569" s="91"/>
      <c r="AJ569" s="91"/>
      <c r="AK569" s="91"/>
      <c r="AL569" s="91"/>
      <c r="AM569" s="91"/>
      <c r="AN569" s="91"/>
      <c r="AO569" s="91"/>
      <c r="AP569" s="91"/>
      <c r="AQ569" s="91"/>
    </row>
    <row r="570" spans="2:43" ht="14.7" hidden="1" customHeight="1" outlineLevel="1" x14ac:dyDescent="0.3">
      <c r="B570" s="425">
        <f t="shared" si="16"/>
        <v>29</v>
      </c>
      <c r="C570" s="95" t="s">
        <v>456</v>
      </c>
      <c r="D570" s="474"/>
      <c r="E570" s="474"/>
      <c r="F570" s="91"/>
      <c r="G570" s="91"/>
      <c r="H570" s="91"/>
      <c r="I570" s="91"/>
      <c r="J570" s="91"/>
      <c r="K570" s="91"/>
      <c r="L570" s="91"/>
      <c r="M570" s="91"/>
      <c r="N570" s="91"/>
      <c r="O570" s="91"/>
      <c r="P570" s="91"/>
      <c r="Q570" s="91"/>
      <c r="R570" s="91"/>
      <c r="S570" s="91"/>
      <c r="T570" s="91"/>
      <c r="U570" s="91"/>
      <c r="V570" s="91"/>
      <c r="W570" s="91"/>
      <c r="X570" s="474"/>
      <c r="Y570" s="474"/>
      <c r="Z570" s="91"/>
      <c r="AA570" s="91"/>
      <c r="AB570" s="91"/>
      <c r="AC570" s="91"/>
      <c r="AD570" s="91"/>
      <c r="AE570" s="91"/>
      <c r="AF570" s="91"/>
      <c r="AG570" s="91"/>
      <c r="AH570" s="91"/>
      <c r="AI570" s="91"/>
      <c r="AJ570" s="91"/>
      <c r="AK570" s="91"/>
      <c r="AL570" s="91"/>
      <c r="AM570" s="91"/>
      <c r="AN570" s="91"/>
      <c r="AO570" s="91"/>
      <c r="AP570" s="91"/>
      <c r="AQ570" s="91"/>
    </row>
    <row r="571" spans="2:43" ht="14.7" hidden="1" customHeight="1" outlineLevel="1" x14ac:dyDescent="0.3">
      <c r="B571" s="425">
        <f t="shared" si="16"/>
        <v>30</v>
      </c>
      <c r="C571" s="95" t="s">
        <v>456</v>
      </c>
      <c r="D571" s="474"/>
      <c r="E571" s="474"/>
      <c r="F571" s="91"/>
      <c r="G571" s="91"/>
      <c r="H571" s="91"/>
      <c r="I571" s="91"/>
      <c r="J571" s="91"/>
      <c r="K571" s="91"/>
      <c r="L571" s="91"/>
      <c r="M571" s="91"/>
      <c r="N571" s="91"/>
      <c r="O571" s="91"/>
      <c r="P571" s="91"/>
      <c r="Q571" s="91"/>
      <c r="R571" s="91"/>
      <c r="S571" s="91"/>
      <c r="T571" s="91"/>
      <c r="U571" s="91"/>
      <c r="V571" s="91"/>
      <c r="W571" s="91"/>
      <c r="X571" s="474"/>
      <c r="Y571" s="474"/>
      <c r="Z571" s="91"/>
      <c r="AA571" s="91"/>
      <c r="AB571" s="91"/>
      <c r="AC571" s="91"/>
      <c r="AD571" s="91"/>
      <c r="AE571" s="91"/>
      <c r="AF571" s="91"/>
      <c r="AG571" s="91"/>
      <c r="AH571" s="91"/>
      <c r="AI571" s="91"/>
      <c r="AJ571" s="91"/>
      <c r="AK571" s="91"/>
      <c r="AL571" s="91"/>
      <c r="AM571" s="91"/>
      <c r="AN571" s="91"/>
      <c r="AO571" s="91"/>
      <c r="AP571" s="91"/>
      <c r="AQ571" s="91"/>
    </row>
    <row r="572" spans="2:43" ht="14.7" hidden="1" customHeight="1" outlineLevel="1" x14ac:dyDescent="0.3">
      <c r="B572" s="425">
        <f t="shared" si="16"/>
        <v>31</v>
      </c>
      <c r="C572" s="95" t="s">
        <v>456</v>
      </c>
      <c r="D572" s="474"/>
      <c r="E572" s="474"/>
      <c r="F572" s="91"/>
      <c r="G572" s="91"/>
      <c r="H572" s="91"/>
      <c r="I572" s="91"/>
      <c r="J572" s="91"/>
      <c r="K572" s="91"/>
      <c r="L572" s="91"/>
      <c r="M572" s="91"/>
      <c r="N572" s="91"/>
      <c r="O572" s="91"/>
      <c r="P572" s="91"/>
      <c r="Q572" s="91"/>
      <c r="R572" s="91"/>
      <c r="S572" s="91"/>
      <c r="T572" s="91"/>
      <c r="U572" s="91"/>
      <c r="V572" s="91"/>
      <c r="W572" s="91"/>
      <c r="X572" s="474"/>
      <c r="Y572" s="474"/>
      <c r="Z572" s="91"/>
      <c r="AA572" s="91"/>
      <c r="AB572" s="91"/>
      <c r="AC572" s="91"/>
      <c r="AD572" s="91"/>
      <c r="AE572" s="91"/>
      <c r="AF572" s="91"/>
      <c r="AG572" s="91"/>
      <c r="AH572" s="91"/>
      <c r="AI572" s="91"/>
      <c r="AJ572" s="91"/>
      <c r="AK572" s="91"/>
      <c r="AL572" s="91"/>
      <c r="AM572" s="91"/>
      <c r="AN572" s="91"/>
      <c r="AO572" s="91"/>
      <c r="AP572" s="91"/>
      <c r="AQ572" s="91"/>
    </row>
    <row r="573" spans="2:43" ht="14.7" hidden="1" customHeight="1" outlineLevel="1" x14ac:dyDescent="0.3">
      <c r="B573" s="425">
        <f t="shared" si="16"/>
        <v>32</v>
      </c>
      <c r="C573" s="95" t="s">
        <v>456</v>
      </c>
      <c r="D573" s="474"/>
      <c r="E573" s="474"/>
      <c r="F573" s="91"/>
      <c r="G573" s="91"/>
      <c r="H573" s="91"/>
      <c r="I573" s="91"/>
      <c r="J573" s="91"/>
      <c r="K573" s="91"/>
      <c r="L573" s="91"/>
      <c r="M573" s="91"/>
      <c r="N573" s="91"/>
      <c r="O573" s="91"/>
      <c r="P573" s="91"/>
      <c r="Q573" s="91"/>
      <c r="R573" s="91"/>
      <c r="S573" s="91"/>
      <c r="T573" s="91"/>
      <c r="U573" s="91"/>
      <c r="V573" s="91"/>
      <c r="W573" s="91"/>
      <c r="X573" s="474"/>
      <c r="Y573" s="474"/>
      <c r="Z573" s="91"/>
      <c r="AA573" s="91"/>
      <c r="AB573" s="91"/>
      <c r="AC573" s="91"/>
      <c r="AD573" s="91"/>
      <c r="AE573" s="91"/>
      <c r="AF573" s="91"/>
      <c r="AG573" s="91"/>
      <c r="AH573" s="91"/>
      <c r="AI573" s="91"/>
      <c r="AJ573" s="91"/>
      <c r="AK573" s="91"/>
      <c r="AL573" s="91"/>
      <c r="AM573" s="91"/>
      <c r="AN573" s="91"/>
      <c r="AO573" s="91"/>
      <c r="AP573" s="91"/>
      <c r="AQ573" s="91"/>
    </row>
    <row r="574" spans="2:43" ht="14.7" hidden="1" customHeight="1" outlineLevel="1" x14ac:dyDescent="0.3">
      <c r="B574" s="425">
        <f t="shared" si="16"/>
        <v>33</v>
      </c>
      <c r="C574" s="95" t="s">
        <v>456</v>
      </c>
      <c r="D574" s="474"/>
      <c r="E574" s="474"/>
      <c r="F574" s="91"/>
      <c r="G574" s="91"/>
      <c r="H574" s="91"/>
      <c r="I574" s="91"/>
      <c r="J574" s="91"/>
      <c r="K574" s="91"/>
      <c r="L574" s="91"/>
      <c r="M574" s="91"/>
      <c r="N574" s="91"/>
      <c r="O574" s="91"/>
      <c r="P574" s="91"/>
      <c r="Q574" s="91"/>
      <c r="R574" s="91"/>
      <c r="S574" s="91"/>
      <c r="T574" s="91"/>
      <c r="U574" s="91"/>
      <c r="V574" s="91"/>
      <c r="W574" s="91"/>
      <c r="X574" s="474"/>
      <c r="Y574" s="474"/>
      <c r="Z574" s="91"/>
      <c r="AA574" s="91"/>
      <c r="AB574" s="91"/>
      <c r="AC574" s="91"/>
      <c r="AD574" s="91"/>
      <c r="AE574" s="91"/>
      <c r="AF574" s="91"/>
      <c r="AG574" s="91"/>
      <c r="AH574" s="91"/>
      <c r="AI574" s="91"/>
      <c r="AJ574" s="91"/>
      <c r="AK574" s="91"/>
      <c r="AL574" s="91"/>
      <c r="AM574" s="91"/>
      <c r="AN574" s="91"/>
      <c r="AO574" s="91"/>
      <c r="AP574" s="91"/>
      <c r="AQ574" s="91"/>
    </row>
    <row r="575" spans="2:43" ht="14.7" hidden="1" customHeight="1" outlineLevel="1" x14ac:dyDescent="0.3">
      <c r="B575" s="425">
        <f t="shared" si="16"/>
        <v>34</v>
      </c>
      <c r="C575" s="95" t="s">
        <v>456</v>
      </c>
      <c r="D575" s="474"/>
      <c r="E575" s="474"/>
      <c r="F575" s="91"/>
      <c r="G575" s="91"/>
      <c r="H575" s="91"/>
      <c r="I575" s="91"/>
      <c r="J575" s="91"/>
      <c r="K575" s="91"/>
      <c r="L575" s="91"/>
      <c r="M575" s="91"/>
      <c r="N575" s="91"/>
      <c r="O575" s="91"/>
      <c r="P575" s="91"/>
      <c r="Q575" s="91"/>
      <c r="R575" s="91"/>
      <c r="S575" s="91"/>
      <c r="T575" s="91"/>
      <c r="U575" s="91"/>
      <c r="V575" s="91"/>
      <c r="W575" s="91"/>
      <c r="X575" s="474"/>
      <c r="Y575" s="474"/>
      <c r="Z575" s="91"/>
      <c r="AA575" s="91"/>
      <c r="AB575" s="91"/>
      <c r="AC575" s="91"/>
      <c r="AD575" s="91"/>
      <c r="AE575" s="91"/>
      <c r="AF575" s="91"/>
      <c r="AG575" s="91"/>
      <c r="AH575" s="91"/>
      <c r="AI575" s="91"/>
      <c r="AJ575" s="91"/>
      <c r="AK575" s="91"/>
      <c r="AL575" s="91"/>
      <c r="AM575" s="91"/>
      <c r="AN575" s="91"/>
      <c r="AO575" s="91"/>
      <c r="AP575" s="91"/>
      <c r="AQ575" s="91"/>
    </row>
    <row r="576" spans="2:43" ht="14.7" hidden="1" customHeight="1" outlineLevel="1" x14ac:dyDescent="0.3">
      <c r="B576" s="425">
        <f t="shared" si="16"/>
        <v>35</v>
      </c>
      <c r="C576" s="95" t="s">
        <v>456</v>
      </c>
      <c r="D576" s="474"/>
      <c r="E576" s="474"/>
      <c r="F576" s="91"/>
      <c r="G576" s="91"/>
      <c r="H576" s="91"/>
      <c r="I576" s="91"/>
      <c r="J576" s="91"/>
      <c r="K576" s="91"/>
      <c r="L576" s="91"/>
      <c r="M576" s="91"/>
      <c r="N576" s="91"/>
      <c r="O576" s="91"/>
      <c r="P576" s="91"/>
      <c r="Q576" s="91"/>
      <c r="R576" s="91"/>
      <c r="S576" s="91"/>
      <c r="T576" s="91"/>
      <c r="U576" s="91"/>
      <c r="V576" s="91"/>
      <c r="W576" s="91"/>
      <c r="X576" s="474"/>
      <c r="Y576" s="474"/>
      <c r="Z576" s="91"/>
      <c r="AA576" s="91"/>
      <c r="AB576" s="91"/>
      <c r="AC576" s="91"/>
      <c r="AD576" s="91"/>
      <c r="AE576" s="91"/>
      <c r="AF576" s="91"/>
      <c r="AG576" s="91"/>
      <c r="AH576" s="91"/>
      <c r="AI576" s="91"/>
      <c r="AJ576" s="91"/>
      <c r="AK576" s="91"/>
      <c r="AL576" s="91"/>
      <c r="AM576" s="91"/>
      <c r="AN576" s="91"/>
      <c r="AO576" s="91"/>
      <c r="AP576" s="91"/>
      <c r="AQ576" s="91"/>
    </row>
    <row r="577" spans="2:43" ht="14.7" hidden="1" customHeight="1" outlineLevel="1" x14ac:dyDescent="0.3">
      <c r="B577" s="425">
        <f t="shared" si="16"/>
        <v>36</v>
      </c>
      <c r="C577" s="95" t="s">
        <v>456</v>
      </c>
      <c r="D577" s="474"/>
      <c r="E577" s="474"/>
      <c r="F577" s="91"/>
      <c r="G577" s="91"/>
      <c r="H577" s="91"/>
      <c r="I577" s="91"/>
      <c r="J577" s="91"/>
      <c r="K577" s="91"/>
      <c r="L577" s="91"/>
      <c r="M577" s="91"/>
      <c r="N577" s="91"/>
      <c r="O577" s="91"/>
      <c r="P577" s="91"/>
      <c r="Q577" s="91"/>
      <c r="R577" s="91"/>
      <c r="S577" s="91"/>
      <c r="T577" s="91"/>
      <c r="U577" s="91"/>
      <c r="V577" s="91"/>
      <c r="W577" s="91"/>
      <c r="X577" s="474"/>
      <c r="Y577" s="474"/>
      <c r="Z577" s="91"/>
      <c r="AA577" s="91"/>
      <c r="AB577" s="91"/>
      <c r="AC577" s="91"/>
      <c r="AD577" s="91"/>
      <c r="AE577" s="91"/>
      <c r="AF577" s="91"/>
      <c r="AG577" s="91"/>
      <c r="AH577" s="91"/>
      <c r="AI577" s="91"/>
      <c r="AJ577" s="91"/>
      <c r="AK577" s="91"/>
      <c r="AL577" s="91"/>
      <c r="AM577" s="91"/>
      <c r="AN577" s="91"/>
      <c r="AO577" s="91"/>
      <c r="AP577" s="91"/>
      <c r="AQ577" s="91"/>
    </row>
    <row r="578" spans="2:43" ht="14.7" hidden="1" customHeight="1" outlineLevel="1" x14ac:dyDescent="0.3">
      <c r="B578" s="425">
        <f t="shared" si="16"/>
        <v>37</v>
      </c>
      <c r="C578" s="95" t="s">
        <v>456</v>
      </c>
      <c r="D578" s="474"/>
      <c r="E578" s="474"/>
      <c r="F578" s="91"/>
      <c r="G578" s="91"/>
      <c r="H578" s="91"/>
      <c r="I578" s="91"/>
      <c r="J578" s="91"/>
      <c r="K578" s="91"/>
      <c r="L578" s="91"/>
      <c r="M578" s="91"/>
      <c r="N578" s="91"/>
      <c r="O578" s="91"/>
      <c r="P578" s="91"/>
      <c r="Q578" s="91"/>
      <c r="R578" s="91"/>
      <c r="S578" s="91"/>
      <c r="T578" s="91"/>
      <c r="U578" s="91"/>
      <c r="V578" s="91"/>
      <c r="W578" s="91"/>
      <c r="X578" s="474"/>
      <c r="Y578" s="474"/>
      <c r="Z578" s="91"/>
      <c r="AA578" s="91"/>
      <c r="AB578" s="91"/>
      <c r="AC578" s="91"/>
      <c r="AD578" s="91"/>
      <c r="AE578" s="91"/>
      <c r="AF578" s="91"/>
      <c r="AG578" s="91"/>
      <c r="AH578" s="91"/>
      <c r="AI578" s="91"/>
      <c r="AJ578" s="91"/>
      <c r="AK578" s="91"/>
      <c r="AL578" s="91"/>
      <c r="AM578" s="91"/>
      <c r="AN578" s="91"/>
      <c r="AO578" s="91"/>
      <c r="AP578" s="91"/>
      <c r="AQ578" s="91"/>
    </row>
    <row r="579" spans="2:43" ht="14.7" hidden="1" customHeight="1" outlineLevel="1" x14ac:dyDescent="0.3">
      <c r="B579" s="425">
        <f t="shared" si="16"/>
        <v>38</v>
      </c>
      <c r="C579" s="95" t="s">
        <v>456</v>
      </c>
      <c r="D579" s="474"/>
      <c r="E579" s="474"/>
      <c r="F579" s="91"/>
      <c r="G579" s="91"/>
      <c r="H579" s="91"/>
      <c r="I579" s="91"/>
      <c r="J579" s="91"/>
      <c r="K579" s="91"/>
      <c r="L579" s="91"/>
      <c r="M579" s="91"/>
      <c r="N579" s="91"/>
      <c r="O579" s="91"/>
      <c r="P579" s="91"/>
      <c r="Q579" s="91"/>
      <c r="R579" s="91"/>
      <c r="S579" s="91"/>
      <c r="T579" s="91"/>
      <c r="U579" s="91"/>
      <c r="V579" s="91"/>
      <c r="W579" s="91"/>
      <c r="X579" s="474"/>
      <c r="Y579" s="474"/>
      <c r="Z579" s="91"/>
      <c r="AA579" s="91"/>
      <c r="AB579" s="91"/>
      <c r="AC579" s="91"/>
      <c r="AD579" s="91"/>
      <c r="AE579" s="91"/>
      <c r="AF579" s="91"/>
      <c r="AG579" s="91"/>
      <c r="AH579" s="91"/>
      <c r="AI579" s="91"/>
      <c r="AJ579" s="91"/>
      <c r="AK579" s="91"/>
      <c r="AL579" s="91"/>
      <c r="AM579" s="91"/>
      <c r="AN579" s="91"/>
      <c r="AO579" s="91"/>
      <c r="AP579" s="91"/>
      <c r="AQ579" s="91"/>
    </row>
    <row r="580" spans="2:43" ht="14.7" hidden="1" customHeight="1" outlineLevel="1" x14ac:dyDescent="0.3">
      <c r="B580" s="425">
        <f t="shared" si="16"/>
        <v>39</v>
      </c>
      <c r="C580" s="95" t="s">
        <v>456</v>
      </c>
      <c r="D580" s="474"/>
      <c r="E580" s="474"/>
      <c r="F580" s="91"/>
      <c r="G580" s="91"/>
      <c r="H580" s="91"/>
      <c r="I580" s="91"/>
      <c r="J580" s="91"/>
      <c r="K580" s="91"/>
      <c r="L580" s="91"/>
      <c r="M580" s="91"/>
      <c r="N580" s="91"/>
      <c r="O580" s="91"/>
      <c r="P580" s="91"/>
      <c r="Q580" s="91"/>
      <c r="R580" s="91"/>
      <c r="S580" s="91"/>
      <c r="T580" s="91"/>
      <c r="U580" s="91"/>
      <c r="V580" s="91"/>
      <c r="W580" s="91"/>
      <c r="X580" s="474"/>
      <c r="Y580" s="474"/>
      <c r="Z580" s="91"/>
      <c r="AA580" s="91"/>
      <c r="AB580" s="91"/>
      <c r="AC580" s="91"/>
      <c r="AD580" s="91"/>
      <c r="AE580" s="91"/>
      <c r="AF580" s="91"/>
      <c r="AG580" s="91"/>
      <c r="AH580" s="91"/>
      <c r="AI580" s="91"/>
      <c r="AJ580" s="91"/>
      <c r="AK580" s="91"/>
      <c r="AL580" s="91"/>
      <c r="AM580" s="91"/>
      <c r="AN580" s="91"/>
      <c r="AO580" s="91"/>
      <c r="AP580" s="91"/>
      <c r="AQ580" s="91"/>
    </row>
    <row r="581" spans="2:43" ht="14.7" hidden="1" customHeight="1" outlineLevel="1" x14ac:dyDescent="0.3">
      <c r="B581" s="425">
        <f t="shared" si="16"/>
        <v>40</v>
      </c>
      <c r="C581" s="95" t="s">
        <v>456</v>
      </c>
      <c r="D581" s="474"/>
      <c r="E581" s="474"/>
      <c r="F581" s="91"/>
      <c r="G581" s="91"/>
      <c r="H581" s="91"/>
      <c r="I581" s="91"/>
      <c r="J581" s="91"/>
      <c r="K581" s="91"/>
      <c r="L581" s="91"/>
      <c r="M581" s="91"/>
      <c r="N581" s="91"/>
      <c r="O581" s="91"/>
      <c r="P581" s="91"/>
      <c r="Q581" s="91"/>
      <c r="R581" s="91"/>
      <c r="S581" s="91"/>
      <c r="T581" s="91"/>
      <c r="U581" s="91"/>
      <c r="V581" s="91"/>
      <c r="W581" s="91"/>
      <c r="X581" s="474"/>
      <c r="Y581" s="474"/>
      <c r="Z581" s="91"/>
      <c r="AA581" s="91"/>
      <c r="AB581" s="91"/>
      <c r="AC581" s="91"/>
      <c r="AD581" s="91"/>
      <c r="AE581" s="91"/>
      <c r="AF581" s="91"/>
      <c r="AG581" s="91"/>
      <c r="AH581" s="91"/>
      <c r="AI581" s="91"/>
      <c r="AJ581" s="91"/>
      <c r="AK581" s="91"/>
      <c r="AL581" s="91"/>
      <c r="AM581" s="91"/>
      <c r="AN581" s="91"/>
      <c r="AO581" s="91"/>
      <c r="AP581" s="91"/>
      <c r="AQ581" s="91"/>
    </row>
    <row r="582" spans="2:43" ht="14.7" hidden="1" customHeight="1" outlineLevel="1" x14ac:dyDescent="0.3">
      <c r="B582" s="425">
        <f t="shared" si="16"/>
        <v>41</v>
      </c>
      <c r="C582" s="95" t="s">
        <v>456</v>
      </c>
      <c r="D582" s="474"/>
      <c r="E582" s="474"/>
      <c r="F582" s="91"/>
      <c r="G582" s="91"/>
      <c r="H582" s="91"/>
      <c r="I582" s="91"/>
      <c r="J582" s="91"/>
      <c r="K582" s="91"/>
      <c r="L582" s="91"/>
      <c r="M582" s="91"/>
      <c r="N582" s="91"/>
      <c r="O582" s="91"/>
      <c r="P582" s="91"/>
      <c r="Q582" s="91"/>
      <c r="R582" s="91"/>
      <c r="S582" s="91"/>
      <c r="T582" s="91"/>
      <c r="U582" s="91"/>
      <c r="V582" s="91"/>
      <c r="W582" s="91"/>
      <c r="X582" s="474"/>
      <c r="Y582" s="474"/>
      <c r="Z582" s="91"/>
      <c r="AA582" s="91"/>
      <c r="AB582" s="91"/>
      <c r="AC582" s="91"/>
      <c r="AD582" s="91"/>
      <c r="AE582" s="91"/>
      <c r="AF582" s="91"/>
      <c r="AG582" s="91"/>
      <c r="AH582" s="91"/>
      <c r="AI582" s="91"/>
      <c r="AJ582" s="91"/>
      <c r="AK582" s="91"/>
      <c r="AL582" s="91"/>
      <c r="AM582" s="91"/>
      <c r="AN582" s="91"/>
      <c r="AO582" s="91"/>
      <c r="AP582" s="91"/>
      <c r="AQ582" s="91"/>
    </row>
    <row r="583" spans="2:43" ht="14.7" hidden="1" customHeight="1" outlineLevel="1" x14ac:dyDescent="0.3">
      <c r="B583" s="425">
        <f t="shared" si="16"/>
        <v>42</v>
      </c>
      <c r="C583" s="95" t="s">
        <v>456</v>
      </c>
      <c r="D583" s="474"/>
      <c r="E583" s="474"/>
      <c r="F583" s="91"/>
      <c r="G583" s="91"/>
      <c r="H583" s="91"/>
      <c r="I583" s="91"/>
      <c r="J583" s="91"/>
      <c r="K583" s="91"/>
      <c r="L583" s="91"/>
      <c r="M583" s="91"/>
      <c r="N583" s="91"/>
      <c r="O583" s="91"/>
      <c r="P583" s="91"/>
      <c r="Q583" s="91"/>
      <c r="R583" s="91"/>
      <c r="S583" s="91"/>
      <c r="T583" s="91"/>
      <c r="U583" s="91"/>
      <c r="V583" s="91"/>
      <c r="W583" s="91"/>
      <c r="X583" s="474"/>
      <c r="Y583" s="474"/>
      <c r="Z583" s="91"/>
      <c r="AA583" s="91"/>
      <c r="AB583" s="91"/>
      <c r="AC583" s="91"/>
      <c r="AD583" s="91"/>
      <c r="AE583" s="91"/>
      <c r="AF583" s="91"/>
      <c r="AG583" s="91"/>
      <c r="AH583" s="91"/>
      <c r="AI583" s="91"/>
      <c r="AJ583" s="91"/>
      <c r="AK583" s="91"/>
      <c r="AL583" s="91"/>
      <c r="AM583" s="91"/>
      <c r="AN583" s="91"/>
      <c r="AO583" s="91"/>
      <c r="AP583" s="91"/>
      <c r="AQ583" s="91"/>
    </row>
    <row r="584" spans="2:43" ht="14.7" hidden="1" customHeight="1" outlineLevel="1" x14ac:dyDescent="0.3">
      <c r="B584" s="425">
        <f t="shared" si="16"/>
        <v>43</v>
      </c>
      <c r="C584" s="95" t="s">
        <v>456</v>
      </c>
      <c r="D584" s="474"/>
      <c r="E584" s="474"/>
      <c r="F584" s="91"/>
      <c r="G584" s="91"/>
      <c r="H584" s="91"/>
      <c r="I584" s="91"/>
      <c r="J584" s="91"/>
      <c r="K584" s="91"/>
      <c r="L584" s="91"/>
      <c r="M584" s="91"/>
      <c r="N584" s="91"/>
      <c r="O584" s="91"/>
      <c r="P584" s="91"/>
      <c r="Q584" s="91"/>
      <c r="R584" s="91"/>
      <c r="S584" s="91"/>
      <c r="T584" s="91"/>
      <c r="U584" s="91"/>
      <c r="V584" s="91"/>
      <c r="W584" s="91"/>
      <c r="X584" s="474"/>
      <c r="Y584" s="474"/>
      <c r="Z584" s="91"/>
      <c r="AA584" s="91"/>
      <c r="AB584" s="91"/>
      <c r="AC584" s="91"/>
      <c r="AD584" s="91"/>
      <c r="AE584" s="91"/>
      <c r="AF584" s="91"/>
      <c r="AG584" s="91"/>
      <c r="AH584" s="91"/>
      <c r="AI584" s="91"/>
      <c r="AJ584" s="91"/>
      <c r="AK584" s="91"/>
      <c r="AL584" s="91"/>
      <c r="AM584" s="91"/>
      <c r="AN584" s="91"/>
      <c r="AO584" s="91"/>
      <c r="AP584" s="91"/>
      <c r="AQ584" s="91"/>
    </row>
    <row r="585" spans="2:43" ht="14.7" hidden="1" customHeight="1" outlineLevel="1" x14ac:dyDescent="0.3">
      <c r="B585" s="425">
        <f t="shared" si="16"/>
        <v>44</v>
      </c>
      <c r="C585" s="95" t="s">
        <v>456</v>
      </c>
      <c r="D585" s="474"/>
      <c r="E585" s="474"/>
      <c r="F585" s="91"/>
      <c r="G585" s="91"/>
      <c r="H585" s="91"/>
      <c r="I585" s="91"/>
      <c r="J585" s="91"/>
      <c r="K585" s="91"/>
      <c r="L585" s="91"/>
      <c r="M585" s="91"/>
      <c r="N585" s="91"/>
      <c r="O585" s="91"/>
      <c r="P585" s="91"/>
      <c r="Q585" s="91"/>
      <c r="R585" s="91"/>
      <c r="S585" s="91"/>
      <c r="T585" s="91"/>
      <c r="U585" s="91"/>
      <c r="V585" s="91"/>
      <c r="W585" s="91"/>
      <c r="X585" s="474"/>
      <c r="Y585" s="474"/>
      <c r="Z585" s="91"/>
      <c r="AA585" s="91"/>
      <c r="AB585" s="91"/>
      <c r="AC585" s="91"/>
      <c r="AD585" s="91"/>
      <c r="AE585" s="91"/>
      <c r="AF585" s="91"/>
      <c r="AG585" s="91"/>
      <c r="AH585" s="91"/>
      <c r="AI585" s="91"/>
      <c r="AJ585" s="91"/>
      <c r="AK585" s="91"/>
      <c r="AL585" s="91"/>
      <c r="AM585" s="91"/>
      <c r="AN585" s="91"/>
      <c r="AO585" s="91"/>
      <c r="AP585" s="91"/>
      <c r="AQ585" s="91"/>
    </row>
    <row r="586" spans="2:43" ht="14.7" hidden="1" customHeight="1" outlineLevel="1" x14ac:dyDescent="0.3">
      <c r="B586" s="425">
        <f t="shared" si="16"/>
        <v>45</v>
      </c>
      <c r="C586" s="95" t="s">
        <v>456</v>
      </c>
      <c r="D586" s="474"/>
      <c r="E586" s="474"/>
      <c r="F586" s="91"/>
      <c r="G586" s="91"/>
      <c r="H586" s="91"/>
      <c r="I586" s="91"/>
      <c r="J586" s="91"/>
      <c r="K586" s="91"/>
      <c r="L586" s="91"/>
      <c r="M586" s="91"/>
      <c r="N586" s="91"/>
      <c r="O586" s="91"/>
      <c r="P586" s="91"/>
      <c r="Q586" s="91"/>
      <c r="R586" s="91"/>
      <c r="S586" s="91"/>
      <c r="T586" s="91"/>
      <c r="U586" s="91"/>
      <c r="V586" s="91"/>
      <c r="W586" s="91"/>
      <c r="X586" s="474"/>
      <c r="Y586" s="474"/>
      <c r="Z586" s="91"/>
      <c r="AA586" s="91"/>
      <c r="AB586" s="91"/>
      <c r="AC586" s="91"/>
      <c r="AD586" s="91"/>
      <c r="AE586" s="91"/>
      <c r="AF586" s="91"/>
      <c r="AG586" s="91"/>
      <c r="AH586" s="91"/>
      <c r="AI586" s="91"/>
      <c r="AJ586" s="91"/>
      <c r="AK586" s="91"/>
      <c r="AL586" s="91"/>
      <c r="AM586" s="91"/>
      <c r="AN586" s="91"/>
      <c r="AO586" s="91"/>
      <c r="AP586" s="91"/>
      <c r="AQ586" s="91"/>
    </row>
    <row r="587" spans="2:43" ht="14.7" hidden="1" customHeight="1" outlineLevel="1" x14ac:dyDescent="0.3">
      <c r="B587" s="425">
        <f t="shared" si="16"/>
        <v>46</v>
      </c>
      <c r="C587" s="95" t="s">
        <v>456</v>
      </c>
      <c r="D587" s="474"/>
      <c r="E587" s="474"/>
      <c r="F587" s="91"/>
      <c r="G587" s="91"/>
      <c r="H587" s="91"/>
      <c r="I587" s="91"/>
      <c r="J587" s="91"/>
      <c r="K587" s="91"/>
      <c r="L587" s="91"/>
      <c r="M587" s="91"/>
      <c r="N587" s="91"/>
      <c r="O587" s="91"/>
      <c r="P587" s="91"/>
      <c r="Q587" s="91"/>
      <c r="R587" s="91"/>
      <c r="S587" s="91"/>
      <c r="T587" s="91"/>
      <c r="U587" s="91"/>
      <c r="V587" s="91"/>
      <c r="W587" s="91"/>
      <c r="X587" s="474"/>
      <c r="Y587" s="474"/>
      <c r="Z587" s="91"/>
      <c r="AA587" s="91"/>
      <c r="AB587" s="91"/>
      <c r="AC587" s="91"/>
      <c r="AD587" s="91"/>
      <c r="AE587" s="91"/>
      <c r="AF587" s="91"/>
      <c r="AG587" s="91"/>
      <c r="AH587" s="91"/>
      <c r="AI587" s="91"/>
      <c r="AJ587" s="91"/>
      <c r="AK587" s="91"/>
      <c r="AL587" s="91"/>
      <c r="AM587" s="91"/>
      <c r="AN587" s="91"/>
      <c r="AO587" s="91"/>
      <c r="AP587" s="91"/>
      <c r="AQ587" s="91"/>
    </row>
    <row r="588" spans="2:43" ht="14.7" hidden="1" customHeight="1" outlineLevel="1" x14ac:dyDescent="0.3">
      <c r="B588" s="425">
        <f t="shared" si="16"/>
        <v>47</v>
      </c>
      <c r="C588" s="95" t="s">
        <v>456</v>
      </c>
      <c r="D588" s="474"/>
      <c r="E588" s="474"/>
      <c r="F588" s="91"/>
      <c r="G588" s="91"/>
      <c r="H588" s="91"/>
      <c r="I588" s="91"/>
      <c r="J588" s="91"/>
      <c r="K588" s="91"/>
      <c r="L588" s="91"/>
      <c r="M588" s="91"/>
      <c r="N588" s="91"/>
      <c r="O588" s="91"/>
      <c r="P588" s="91"/>
      <c r="Q588" s="91"/>
      <c r="R588" s="91"/>
      <c r="S588" s="91"/>
      <c r="T588" s="91"/>
      <c r="U588" s="91"/>
      <c r="V588" s="91"/>
      <c r="W588" s="91"/>
      <c r="X588" s="474"/>
      <c r="Y588" s="474"/>
      <c r="Z588" s="91"/>
      <c r="AA588" s="91"/>
      <c r="AB588" s="91"/>
      <c r="AC588" s="91"/>
      <c r="AD588" s="91"/>
      <c r="AE588" s="91"/>
      <c r="AF588" s="91"/>
      <c r="AG588" s="91"/>
      <c r="AH588" s="91"/>
      <c r="AI588" s="91"/>
      <c r="AJ588" s="91"/>
      <c r="AK588" s="91"/>
      <c r="AL588" s="91"/>
      <c r="AM588" s="91"/>
      <c r="AN588" s="91"/>
      <c r="AO588" s="91"/>
      <c r="AP588" s="91"/>
      <c r="AQ588" s="91"/>
    </row>
    <row r="589" spans="2:43" ht="14.7" hidden="1" customHeight="1" outlineLevel="1" x14ac:dyDescent="0.3">
      <c r="B589" s="425">
        <f t="shared" si="16"/>
        <v>48</v>
      </c>
      <c r="C589" s="95" t="s">
        <v>456</v>
      </c>
      <c r="D589" s="474"/>
      <c r="E589" s="474"/>
      <c r="F589" s="91"/>
      <c r="G589" s="91"/>
      <c r="H589" s="91"/>
      <c r="I589" s="91"/>
      <c r="J589" s="91"/>
      <c r="K589" s="91"/>
      <c r="L589" s="91"/>
      <c r="M589" s="91"/>
      <c r="N589" s="91"/>
      <c r="O589" s="91"/>
      <c r="P589" s="91"/>
      <c r="Q589" s="91"/>
      <c r="R589" s="91"/>
      <c r="S589" s="91"/>
      <c r="T589" s="91"/>
      <c r="U589" s="91"/>
      <c r="V589" s="91"/>
      <c r="W589" s="91"/>
      <c r="X589" s="474"/>
      <c r="Y589" s="474"/>
      <c r="Z589" s="91"/>
      <c r="AA589" s="91"/>
      <c r="AB589" s="91"/>
      <c r="AC589" s="91"/>
      <c r="AD589" s="91"/>
      <c r="AE589" s="91"/>
      <c r="AF589" s="91"/>
      <c r="AG589" s="91"/>
      <c r="AH589" s="91"/>
      <c r="AI589" s="91"/>
      <c r="AJ589" s="91"/>
      <c r="AK589" s="91"/>
      <c r="AL589" s="91"/>
      <c r="AM589" s="91"/>
      <c r="AN589" s="91"/>
      <c r="AO589" s="91"/>
      <c r="AP589" s="91"/>
      <c r="AQ589" s="91"/>
    </row>
    <row r="590" spans="2:43" ht="14.7" hidden="1" customHeight="1" outlineLevel="1" x14ac:dyDescent="0.3">
      <c r="B590" s="425">
        <f t="shared" si="16"/>
        <v>49</v>
      </c>
      <c r="C590" s="95" t="s">
        <v>456</v>
      </c>
      <c r="D590" s="474"/>
      <c r="E590" s="474"/>
      <c r="F590" s="91"/>
      <c r="G590" s="91"/>
      <c r="H590" s="91"/>
      <c r="I590" s="91"/>
      <c r="J590" s="91"/>
      <c r="K590" s="91"/>
      <c r="L590" s="91"/>
      <c r="M590" s="91"/>
      <c r="N590" s="91"/>
      <c r="O590" s="91"/>
      <c r="P590" s="91"/>
      <c r="Q590" s="91"/>
      <c r="R590" s="91"/>
      <c r="S590" s="91"/>
      <c r="T590" s="91"/>
      <c r="U590" s="91"/>
      <c r="V590" s="91"/>
      <c r="W590" s="91"/>
      <c r="X590" s="474"/>
      <c r="Y590" s="474"/>
      <c r="Z590" s="91"/>
      <c r="AA590" s="91"/>
      <c r="AB590" s="91"/>
      <c r="AC590" s="91"/>
      <c r="AD590" s="91"/>
      <c r="AE590" s="91"/>
      <c r="AF590" s="91"/>
      <c r="AG590" s="91"/>
      <c r="AH590" s="91"/>
      <c r="AI590" s="91"/>
      <c r="AJ590" s="91"/>
      <c r="AK590" s="91"/>
      <c r="AL590" s="91"/>
      <c r="AM590" s="91"/>
      <c r="AN590" s="91"/>
      <c r="AO590" s="91"/>
      <c r="AP590" s="91"/>
      <c r="AQ590" s="91"/>
    </row>
    <row r="591" spans="2:43" ht="14.7" hidden="1" customHeight="1" outlineLevel="1" x14ac:dyDescent="0.3">
      <c r="B591" s="425">
        <f t="shared" si="16"/>
        <v>50</v>
      </c>
      <c r="C591" s="95" t="s">
        <v>456</v>
      </c>
      <c r="D591" s="474"/>
      <c r="E591" s="474"/>
      <c r="F591" s="91"/>
      <c r="G591" s="91"/>
      <c r="H591" s="91"/>
      <c r="I591" s="91"/>
      <c r="J591" s="91"/>
      <c r="K591" s="91"/>
      <c r="L591" s="91"/>
      <c r="M591" s="91"/>
      <c r="N591" s="91"/>
      <c r="O591" s="91"/>
      <c r="P591" s="91"/>
      <c r="Q591" s="91"/>
      <c r="R591" s="91"/>
      <c r="S591" s="91"/>
      <c r="T591" s="91"/>
      <c r="U591" s="91"/>
      <c r="V591" s="91"/>
      <c r="W591" s="91"/>
      <c r="X591" s="474"/>
      <c r="Y591" s="474"/>
      <c r="Z591" s="91"/>
      <c r="AA591" s="91"/>
      <c r="AB591" s="91"/>
      <c r="AC591" s="91"/>
      <c r="AD591" s="91"/>
      <c r="AE591" s="91"/>
      <c r="AF591" s="91"/>
      <c r="AG591" s="91"/>
      <c r="AH591" s="91"/>
      <c r="AI591" s="91"/>
      <c r="AJ591" s="91"/>
      <c r="AK591" s="91"/>
      <c r="AL591" s="91"/>
      <c r="AM591" s="91"/>
      <c r="AN591" s="91"/>
      <c r="AO591" s="91"/>
      <c r="AP591" s="91"/>
      <c r="AQ591" s="91"/>
    </row>
    <row r="592" spans="2:43" ht="14.7" hidden="1" customHeight="1" outlineLevel="1" x14ac:dyDescent="0.3">
      <c r="B592" s="425">
        <f t="shared" si="16"/>
        <v>51</v>
      </c>
      <c r="C592" s="95" t="s">
        <v>456</v>
      </c>
      <c r="D592" s="474"/>
      <c r="E592" s="474"/>
      <c r="F592" s="91"/>
      <c r="G592" s="91"/>
      <c r="H592" s="91"/>
      <c r="I592" s="91"/>
      <c r="J592" s="91"/>
      <c r="K592" s="91"/>
      <c r="L592" s="91"/>
      <c r="M592" s="91"/>
      <c r="N592" s="91"/>
      <c r="O592" s="91"/>
      <c r="P592" s="91"/>
      <c r="Q592" s="91"/>
      <c r="R592" s="91"/>
      <c r="S592" s="91"/>
      <c r="T592" s="91"/>
      <c r="U592" s="91"/>
      <c r="V592" s="91"/>
      <c r="W592" s="91"/>
      <c r="X592" s="474"/>
      <c r="Y592" s="474"/>
      <c r="Z592" s="91"/>
      <c r="AA592" s="91"/>
      <c r="AB592" s="91"/>
      <c r="AC592" s="91"/>
      <c r="AD592" s="91"/>
      <c r="AE592" s="91"/>
      <c r="AF592" s="91"/>
      <c r="AG592" s="91"/>
      <c r="AH592" s="91"/>
      <c r="AI592" s="91"/>
      <c r="AJ592" s="91"/>
      <c r="AK592" s="91"/>
      <c r="AL592" s="91"/>
      <c r="AM592" s="91"/>
      <c r="AN592" s="91"/>
      <c r="AO592" s="91"/>
      <c r="AP592" s="91"/>
      <c r="AQ592" s="91"/>
    </row>
    <row r="593" spans="2:43" ht="14.7" hidden="1" customHeight="1" outlineLevel="1" x14ac:dyDescent="0.3">
      <c r="B593" s="425">
        <f t="shared" si="16"/>
        <v>52</v>
      </c>
      <c r="C593" s="95" t="s">
        <v>456</v>
      </c>
      <c r="D593" s="474"/>
      <c r="E593" s="474"/>
      <c r="F593" s="91"/>
      <c r="G593" s="91"/>
      <c r="H593" s="91"/>
      <c r="I593" s="91"/>
      <c r="J593" s="91"/>
      <c r="K593" s="91"/>
      <c r="L593" s="91"/>
      <c r="M593" s="91"/>
      <c r="N593" s="91"/>
      <c r="O593" s="91"/>
      <c r="P593" s="91"/>
      <c r="Q593" s="91"/>
      <c r="R593" s="91"/>
      <c r="S593" s="91"/>
      <c r="T593" s="91"/>
      <c r="U593" s="91"/>
      <c r="V593" s="91"/>
      <c r="W593" s="91"/>
      <c r="X593" s="474"/>
      <c r="Y593" s="474"/>
      <c r="Z593" s="91"/>
      <c r="AA593" s="91"/>
      <c r="AB593" s="91"/>
      <c r="AC593" s="91"/>
      <c r="AD593" s="91"/>
      <c r="AE593" s="91"/>
      <c r="AF593" s="91"/>
      <c r="AG593" s="91"/>
      <c r="AH593" s="91"/>
      <c r="AI593" s="91"/>
      <c r="AJ593" s="91"/>
      <c r="AK593" s="91"/>
      <c r="AL593" s="91"/>
      <c r="AM593" s="91"/>
      <c r="AN593" s="91"/>
      <c r="AO593" s="91"/>
      <c r="AP593" s="91"/>
      <c r="AQ593" s="91"/>
    </row>
    <row r="594" spans="2:43" ht="14.7" hidden="1" customHeight="1" outlineLevel="1" x14ac:dyDescent="0.3">
      <c r="B594" s="425">
        <f t="shared" si="16"/>
        <v>53</v>
      </c>
      <c r="C594" s="95" t="s">
        <v>456</v>
      </c>
      <c r="D594" s="474"/>
      <c r="E594" s="474"/>
      <c r="F594" s="91"/>
      <c r="G594" s="91"/>
      <c r="H594" s="91"/>
      <c r="I594" s="91"/>
      <c r="J594" s="91"/>
      <c r="K594" s="91"/>
      <c r="L594" s="91"/>
      <c r="M594" s="91"/>
      <c r="N594" s="91"/>
      <c r="O594" s="91"/>
      <c r="P594" s="91"/>
      <c r="Q594" s="91"/>
      <c r="R594" s="91"/>
      <c r="S594" s="91"/>
      <c r="T594" s="91"/>
      <c r="U594" s="91"/>
      <c r="V594" s="91"/>
      <c r="W594" s="91"/>
      <c r="X594" s="474"/>
      <c r="Y594" s="474"/>
      <c r="Z594" s="91"/>
      <c r="AA594" s="91"/>
      <c r="AB594" s="91"/>
      <c r="AC594" s="91"/>
      <c r="AD594" s="91"/>
      <c r="AE594" s="91"/>
      <c r="AF594" s="91"/>
      <c r="AG594" s="91"/>
      <c r="AH594" s="91"/>
      <c r="AI594" s="91"/>
      <c r="AJ594" s="91"/>
      <c r="AK594" s="91"/>
      <c r="AL594" s="91"/>
      <c r="AM594" s="91"/>
      <c r="AN594" s="91"/>
      <c r="AO594" s="91"/>
      <c r="AP594" s="91"/>
      <c r="AQ594" s="91"/>
    </row>
    <row r="595" spans="2:43" ht="14.7" hidden="1" customHeight="1" outlineLevel="1" x14ac:dyDescent="0.3">
      <c r="B595" s="425">
        <f t="shared" si="16"/>
        <v>54</v>
      </c>
      <c r="C595" s="95" t="s">
        <v>456</v>
      </c>
      <c r="D595" s="474"/>
      <c r="E595" s="474"/>
      <c r="F595" s="91"/>
      <c r="G595" s="91"/>
      <c r="H595" s="91"/>
      <c r="I595" s="91"/>
      <c r="J595" s="91"/>
      <c r="K595" s="91"/>
      <c r="L595" s="91"/>
      <c r="M595" s="91"/>
      <c r="N595" s="91"/>
      <c r="O595" s="91"/>
      <c r="P595" s="91"/>
      <c r="Q595" s="91"/>
      <c r="R595" s="91"/>
      <c r="S595" s="91"/>
      <c r="T595" s="91"/>
      <c r="U595" s="91"/>
      <c r="V595" s="91"/>
      <c r="W595" s="91"/>
      <c r="X595" s="474"/>
      <c r="Y595" s="474"/>
      <c r="Z595" s="91"/>
      <c r="AA595" s="91"/>
      <c r="AB595" s="91"/>
      <c r="AC595" s="91"/>
      <c r="AD595" s="91"/>
      <c r="AE595" s="91"/>
      <c r="AF595" s="91"/>
      <c r="AG595" s="91"/>
      <c r="AH595" s="91"/>
      <c r="AI595" s="91"/>
      <c r="AJ595" s="91"/>
      <c r="AK595" s="91"/>
      <c r="AL595" s="91"/>
      <c r="AM595" s="91"/>
      <c r="AN595" s="91"/>
      <c r="AO595" s="91"/>
      <c r="AP595" s="91"/>
      <c r="AQ595" s="91"/>
    </row>
    <row r="596" spans="2:43" ht="14.7" hidden="1" customHeight="1" outlineLevel="1" x14ac:dyDescent="0.3">
      <c r="B596" s="425">
        <f t="shared" si="16"/>
        <v>55</v>
      </c>
      <c r="C596" s="95" t="s">
        <v>456</v>
      </c>
      <c r="D596" s="474"/>
      <c r="E596" s="474"/>
      <c r="F596" s="91"/>
      <c r="G596" s="91"/>
      <c r="H596" s="91"/>
      <c r="I596" s="91"/>
      <c r="J596" s="91"/>
      <c r="K596" s="91"/>
      <c r="L596" s="91"/>
      <c r="M596" s="91"/>
      <c r="N596" s="91"/>
      <c r="O596" s="91"/>
      <c r="P596" s="91"/>
      <c r="Q596" s="91"/>
      <c r="R596" s="91"/>
      <c r="S596" s="91"/>
      <c r="T596" s="91"/>
      <c r="U596" s="91"/>
      <c r="V596" s="91"/>
      <c r="W596" s="91"/>
      <c r="X596" s="474"/>
      <c r="Y596" s="474"/>
      <c r="Z596" s="91"/>
      <c r="AA596" s="91"/>
      <c r="AB596" s="91"/>
      <c r="AC596" s="91"/>
      <c r="AD596" s="91"/>
      <c r="AE596" s="91"/>
      <c r="AF596" s="91"/>
      <c r="AG596" s="91"/>
      <c r="AH596" s="91"/>
      <c r="AI596" s="91"/>
      <c r="AJ596" s="91"/>
      <c r="AK596" s="91"/>
      <c r="AL596" s="91"/>
      <c r="AM596" s="91"/>
      <c r="AN596" s="91"/>
      <c r="AO596" s="91"/>
      <c r="AP596" s="91"/>
      <c r="AQ596" s="91"/>
    </row>
    <row r="597" spans="2:43" ht="14.7" hidden="1" customHeight="1" outlineLevel="1" x14ac:dyDescent="0.3">
      <c r="B597" s="425">
        <f t="shared" si="16"/>
        <v>56</v>
      </c>
      <c r="C597" s="95" t="s">
        <v>456</v>
      </c>
      <c r="D597" s="474"/>
      <c r="E597" s="474"/>
      <c r="F597" s="91"/>
      <c r="G597" s="91"/>
      <c r="H597" s="91"/>
      <c r="I597" s="91"/>
      <c r="J597" s="91"/>
      <c r="K597" s="91"/>
      <c r="L597" s="91"/>
      <c r="M597" s="91"/>
      <c r="N597" s="91"/>
      <c r="O597" s="91"/>
      <c r="P597" s="91"/>
      <c r="Q597" s="91"/>
      <c r="R597" s="91"/>
      <c r="S597" s="91"/>
      <c r="T597" s="91"/>
      <c r="U597" s="91"/>
      <c r="V597" s="91"/>
      <c r="W597" s="91"/>
      <c r="X597" s="474"/>
      <c r="Y597" s="474"/>
      <c r="Z597" s="91"/>
      <c r="AA597" s="91"/>
      <c r="AB597" s="91"/>
      <c r="AC597" s="91"/>
      <c r="AD597" s="91"/>
      <c r="AE597" s="91"/>
      <c r="AF597" s="91"/>
      <c r="AG597" s="91"/>
      <c r="AH597" s="91"/>
      <c r="AI597" s="91"/>
      <c r="AJ597" s="91"/>
      <c r="AK597" s="91"/>
      <c r="AL597" s="91"/>
      <c r="AM597" s="91"/>
      <c r="AN597" s="91"/>
      <c r="AO597" s="91"/>
      <c r="AP597" s="91"/>
      <c r="AQ597" s="91"/>
    </row>
    <row r="598" spans="2:43" ht="14.7" hidden="1" customHeight="1" outlineLevel="1" x14ac:dyDescent="0.3">
      <c r="B598" s="425">
        <f t="shared" si="16"/>
        <v>57</v>
      </c>
      <c r="C598" s="95" t="s">
        <v>456</v>
      </c>
      <c r="D598" s="474"/>
      <c r="E598" s="474"/>
      <c r="F598" s="91"/>
      <c r="G598" s="91"/>
      <c r="H598" s="91"/>
      <c r="I598" s="91"/>
      <c r="J598" s="91"/>
      <c r="K598" s="91"/>
      <c r="L598" s="91"/>
      <c r="M598" s="91"/>
      <c r="N598" s="91"/>
      <c r="O598" s="91"/>
      <c r="P598" s="91"/>
      <c r="Q598" s="91"/>
      <c r="R598" s="91"/>
      <c r="S598" s="91"/>
      <c r="T598" s="91"/>
      <c r="U598" s="91"/>
      <c r="V598" s="91"/>
      <c r="W598" s="91"/>
      <c r="X598" s="474"/>
      <c r="Y598" s="474"/>
      <c r="Z598" s="91"/>
      <c r="AA598" s="91"/>
      <c r="AB598" s="91"/>
      <c r="AC598" s="91"/>
      <c r="AD598" s="91"/>
      <c r="AE598" s="91"/>
      <c r="AF598" s="91"/>
      <c r="AG598" s="91"/>
      <c r="AH598" s="91"/>
      <c r="AI598" s="91"/>
      <c r="AJ598" s="91"/>
      <c r="AK598" s="91"/>
      <c r="AL598" s="91"/>
      <c r="AM598" s="91"/>
      <c r="AN598" s="91"/>
      <c r="AO598" s="91"/>
      <c r="AP598" s="91"/>
      <c r="AQ598" s="91"/>
    </row>
    <row r="599" spans="2:43" ht="14.7" hidden="1" customHeight="1" outlineLevel="1" x14ac:dyDescent="0.3">
      <c r="B599" s="425">
        <f t="shared" si="16"/>
        <v>58</v>
      </c>
      <c r="C599" s="95" t="s">
        <v>456</v>
      </c>
      <c r="D599" s="474"/>
      <c r="E599" s="474"/>
      <c r="F599" s="91"/>
      <c r="G599" s="91"/>
      <c r="H599" s="91"/>
      <c r="I599" s="91"/>
      <c r="J599" s="91"/>
      <c r="K599" s="91"/>
      <c r="L599" s="91"/>
      <c r="M599" s="91"/>
      <c r="N599" s="91"/>
      <c r="O599" s="91"/>
      <c r="P599" s="91"/>
      <c r="Q599" s="91"/>
      <c r="R599" s="91"/>
      <c r="S599" s="91"/>
      <c r="T599" s="91"/>
      <c r="U599" s="91"/>
      <c r="V599" s="91"/>
      <c r="W599" s="91"/>
      <c r="X599" s="474"/>
      <c r="Y599" s="474"/>
      <c r="Z599" s="91"/>
      <c r="AA599" s="91"/>
      <c r="AB599" s="91"/>
      <c r="AC599" s="91"/>
      <c r="AD599" s="91"/>
      <c r="AE599" s="91"/>
      <c r="AF599" s="91"/>
      <c r="AG599" s="91"/>
      <c r="AH599" s="91"/>
      <c r="AI599" s="91"/>
      <c r="AJ599" s="91"/>
      <c r="AK599" s="91"/>
      <c r="AL599" s="91"/>
      <c r="AM599" s="91"/>
      <c r="AN599" s="91"/>
      <c r="AO599" s="91"/>
      <c r="AP599" s="91"/>
      <c r="AQ599" s="91"/>
    </row>
    <row r="600" spans="2:43" ht="14.7" hidden="1" customHeight="1" outlineLevel="1" x14ac:dyDescent="0.3">
      <c r="B600" s="425">
        <f t="shared" si="16"/>
        <v>59</v>
      </c>
      <c r="C600" s="95" t="s">
        <v>456</v>
      </c>
      <c r="D600" s="474"/>
      <c r="E600" s="474"/>
      <c r="F600" s="91"/>
      <c r="G600" s="91"/>
      <c r="H600" s="91"/>
      <c r="I600" s="91"/>
      <c r="J600" s="91"/>
      <c r="K600" s="91"/>
      <c r="L600" s="91"/>
      <c r="M600" s="91"/>
      <c r="N600" s="91"/>
      <c r="O600" s="91"/>
      <c r="P600" s="91"/>
      <c r="Q600" s="91"/>
      <c r="R600" s="91"/>
      <c r="S600" s="91"/>
      <c r="T600" s="91"/>
      <c r="U600" s="91"/>
      <c r="V600" s="91"/>
      <c r="W600" s="91"/>
      <c r="X600" s="474"/>
      <c r="Y600" s="474"/>
      <c r="Z600" s="91"/>
      <c r="AA600" s="91"/>
      <c r="AB600" s="91"/>
      <c r="AC600" s="91"/>
      <c r="AD600" s="91"/>
      <c r="AE600" s="91"/>
      <c r="AF600" s="91"/>
      <c r="AG600" s="91"/>
      <c r="AH600" s="91"/>
      <c r="AI600" s="91"/>
      <c r="AJ600" s="91"/>
      <c r="AK600" s="91"/>
      <c r="AL600" s="91"/>
      <c r="AM600" s="91"/>
      <c r="AN600" s="91"/>
      <c r="AO600" s="91"/>
      <c r="AP600" s="91"/>
      <c r="AQ600" s="91"/>
    </row>
    <row r="601" spans="2:43" ht="14.7" hidden="1" customHeight="1" outlineLevel="1" x14ac:dyDescent="0.3">
      <c r="B601" s="425">
        <f t="shared" si="16"/>
        <v>60</v>
      </c>
      <c r="C601" s="95" t="s">
        <v>456</v>
      </c>
      <c r="D601" s="474"/>
      <c r="E601" s="474"/>
      <c r="F601" s="91"/>
      <c r="G601" s="91"/>
      <c r="H601" s="91"/>
      <c r="I601" s="91"/>
      <c r="J601" s="91"/>
      <c r="K601" s="91"/>
      <c r="L601" s="91"/>
      <c r="M601" s="91"/>
      <c r="N601" s="91"/>
      <c r="O601" s="91"/>
      <c r="P601" s="91"/>
      <c r="Q601" s="91"/>
      <c r="R601" s="91"/>
      <c r="S601" s="91"/>
      <c r="T601" s="91"/>
      <c r="U601" s="91"/>
      <c r="V601" s="91"/>
      <c r="W601" s="91"/>
      <c r="X601" s="474"/>
      <c r="Y601" s="474"/>
      <c r="Z601" s="91"/>
      <c r="AA601" s="91"/>
      <c r="AB601" s="91"/>
      <c r="AC601" s="91"/>
      <c r="AD601" s="91"/>
      <c r="AE601" s="91"/>
      <c r="AF601" s="91"/>
      <c r="AG601" s="91"/>
      <c r="AH601" s="91"/>
      <c r="AI601" s="91"/>
      <c r="AJ601" s="91"/>
      <c r="AK601" s="91"/>
      <c r="AL601" s="91"/>
      <c r="AM601" s="91"/>
      <c r="AN601" s="91"/>
      <c r="AO601" s="91"/>
      <c r="AP601" s="91"/>
      <c r="AQ601" s="91"/>
    </row>
    <row r="602" spans="2:43" ht="14.7" hidden="1" customHeight="1" outlineLevel="1" x14ac:dyDescent="0.3">
      <c r="B602" s="425">
        <f t="shared" si="16"/>
        <v>61</v>
      </c>
      <c r="C602" s="95" t="s">
        <v>456</v>
      </c>
      <c r="D602" s="474"/>
      <c r="E602" s="474"/>
      <c r="F602" s="91"/>
      <c r="G602" s="91"/>
      <c r="H602" s="91"/>
      <c r="I602" s="91"/>
      <c r="J602" s="91"/>
      <c r="K602" s="91"/>
      <c r="L602" s="91"/>
      <c r="M602" s="91"/>
      <c r="N602" s="91"/>
      <c r="O602" s="91"/>
      <c r="P602" s="91"/>
      <c r="Q602" s="91"/>
      <c r="R602" s="91"/>
      <c r="S602" s="91"/>
      <c r="T602" s="91"/>
      <c r="U602" s="91"/>
      <c r="V602" s="91"/>
      <c r="W602" s="91"/>
      <c r="X602" s="474"/>
      <c r="Y602" s="474"/>
      <c r="Z602" s="91"/>
      <c r="AA602" s="91"/>
      <c r="AB602" s="91"/>
      <c r="AC602" s="91"/>
      <c r="AD602" s="91"/>
      <c r="AE602" s="91"/>
      <c r="AF602" s="91"/>
      <c r="AG602" s="91"/>
      <c r="AH602" s="91"/>
      <c r="AI602" s="91"/>
      <c r="AJ602" s="91"/>
      <c r="AK602" s="91"/>
      <c r="AL602" s="91"/>
      <c r="AM602" s="91"/>
      <c r="AN602" s="91"/>
      <c r="AO602" s="91"/>
      <c r="AP602" s="91"/>
      <c r="AQ602" s="91"/>
    </row>
    <row r="603" spans="2:43" ht="14.7" hidden="1" customHeight="1" outlineLevel="1" x14ac:dyDescent="0.3">
      <c r="B603" s="425">
        <f t="shared" si="16"/>
        <v>62</v>
      </c>
      <c r="C603" s="95" t="s">
        <v>456</v>
      </c>
      <c r="D603" s="474"/>
      <c r="E603" s="474"/>
      <c r="F603" s="91"/>
      <c r="G603" s="91"/>
      <c r="H603" s="91"/>
      <c r="I603" s="91"/>
      <c r="J603" s="91"/>
      <c r="K603" s="91"/>
      <c r="L603" s="91"/>
      <c r="M603" s="91"/>
      <c r="N603" s="91"/>
      <c r="O603" s="91"/>
      <c r="P603" s="91"/>
      <c r="Q603" s="91"/>
      <c r="R603" s="91"/>
      <c r="S603" s="91"/>
      <c r="T603" s="91"/>
      <c r="U603" s="91"/>
      <c r="V603" s="91"/>
      <c r="W603" s="91"/>
      <c r="X603" s="474"/>
      <c r="Y603" s="474"/>
      <c r="Z603" s="91"/>
      <c r="AA603" s="91"/>
      <c r="AB603" s="91"/>
      <c r="AC603" s="91"/>
      <c r="AD603" s="91"/>
      <c r="AE603" s="91"/>
      <c r="AF603" s="91"/>
      <c r="AG603" s="91"/>
      <c r="AH603" s="91"/>
      <c r="AI603" s="91"/>
      <c r="AJ603" s="91"/>
      <c r="AK603" s="91"/>
      <c r="AL603" s="91"/>
      <c r="AM603" s="91"/>
      <c r="AN603" s="91"/>
      <c r="AO603" s="91"/>
      <c r="AP603" s="91"/>
      <c r="AQ603" s="91"/>
    </row>
    <row r="604" spans="2:43" ht="14.7" hidden="1" customHeight="1" outlineLevel="1" x14ac:dyDescent="0.3">
      <c r="B604" s="425">
        <f t="shared" si="16"/>
        <v>63</v>
      </c>
      <c r="C604" s="95" t="s">
        <v>456</v>
      </c>
      <c r="D604" s="474"/>
      <c r="E604" s="474"/>
      <c r="F604" s="91"/>
      <c r="G604" s="91"/>
      <c r="H604" s="91"/>
      <c r="I604" s="91"/>
      <c r="J604" s="91"/>
      <c r="K604" s="91"/>
      <c r="L604" s="91"/>
      <c r="M604" s="91"/>
      <c r="N604" s="91"/>
      <c r="O604" s="91"/>
      <c r="P604" s="91"/>
      <c r="Q604" s="91"/>
      <c r="R604" s="91"/>
      <c r="S604" s="91"/>
      <c r="T604" s="91"/>
      <c r="U604" s="91"/>
      <c r="V604" s="91"/>
      <c r="W604" s="91"/>
      <c r="X604" s="474"/>
      <c r="Y604" s="474"/>
      <c r="Z604" s="91"/>
      <c r="AA604" s="91"/>
      <c r="AB604" s="91"/>
      <c r="AC604" s="91"/>
      <c r="AD604" s="91"/>
      <c r="AE604" s="91"/>
      <c r="AF604" s="91"/>
      <c r="AG604" s="91"/>
      <c r="AH604" s="91"/>
      <c r="AI604" s="91"/>
      <c r="AJ604" s="91"/>
      <c r="AK604" s="91"/>
      <c r="AL604" s="91"/>
      <c r="AM604" s="91"/>
      <c r="AN604" s="91"/>
      <c r="AO604" s="91"/>
      <c r="AP604" s="91"/>
      <c r="AQ604" s="91"/>
    </row>
    <row r="605" spans="2:43" ht="14.7" hidden="1" customHeight="1" outlineLevel="1" x14ac:dyDescent="0.3">
      <c r="B605" s="425">
        <f t="shared" si="16"/>
        <v>64</v>
      </c>
      <c r="C605" s="95" t="s">
        <v>456</v>
      </c>
      <c r="D605" s="474"/>
      <c r="E605" s="474"/>
      <c r="F605" s="91"/>
      <c r="G605" s="91"/>
      <c r="H605" s="91"/>
      <c r="I605" s="91"/>
      <c r="J605" s="91"/>
      <c r="K605" s="91"/>
      <c r="L605" s="91"/>
      <c r="M605" s="91"/>
      <c r="N605" s="91"/>
      <c r="O605" s="91"/>
      <c r="P605" s="91"/>
      <c r="Q605" s="91"/>
      <c r="R605" s="91"/>
      <c r="S605" s="91"/>
      <c r="T605" s="91"/>
      <c r="U605" s="91"/>
      <c r="V605" s="91"/>
      <c r="W605" s="91"/>
      <c r="X605" s="474"/>
      <c r="Y605" s="474"/>
      <c r="Z605" s="91"/>
      <c r="AA605" s="91"/>
      <c r="AB605" s="91"/>
      <c r="AC605" s="91"/>
      <c r="AD605" s="91"/>
      <c r="AE605" s="91"/>
      <c r="AF605" s="91"/>
      <c r="AG605" s="91"/>
      <c r="AH605" s="91"/>
      <c r="AI605" s="91"/>
      <c r="AJ605" s="91"/>
      <c r="AK605" s="91"/>
      <c r="AL605" s="91"/>
      <c r="AM605" s="91"/>
      <c r="AN605" s="91"/>
      <c r="AO605" s="91"/>
      <c r="AP605" s="91"/>
      <c r="AQ605" s="91"/>
    </row>
    <row r="606" spans="2:43" ht="14.7" hidden="1" customHeight="1" outlineLevel="1" x14ac:dyDescent="0.3">
      <c r="B606" s="425">
        <f t="shared" si="16"/>
        <v>65</v>
      </c>
      <c r="C606" s="95" t="s">
        <v>456</v>
      </c>
      <c r="D606" s="474"/>
      <c r="E606" s="474"/>
      <c r="F606" s="91"/>
      <c r="G606" s="91"/>
      <c r="H606" s="91"/>
      <c r="I606" s="91"/>
      <c r="J606" s="91"/>
      <c r="K606" s="91"/>
      <c r="L606" s="91"/>
      <c r="M606" s="91"/>
      <c r="N606" s="91"/>
      <c r="O606" s="91"/>
      <c r="P606" s="91"/>
      <c r="Q606" s="91"/>
      <c r="R606" s="91"/>
      <c r="S606" s="91"/>
      <c r="T606" s="91"/>
      <c r="U606" s="91"/>
      <c r="V606" s="91"/>
      <c r="W606" s="91"/>
      <c r="X606" s="474"/>
      <c r="Y606" s="474"/>
      <c r="Z606" s="91"/>
      <c r="AA606" s="91"/>
      <c r="AB606" s="91"/>
      <c r="AC606" s="91"/>
      <c r="AD606" s="91"/>
      <c r="AE606" s="91"/>
      <c r="AF606" s="91"/>
      <c r="AG606" s="91"/>
      <c r="AH606" s="91"/>
      <c r="AI606" s="91"/>
      <c r="AJ606" s="91"/>
      <c r="AK606" s="91"/>
      <c r="AL606" s="91"/>
      <c r="AM606" s="91"/>
      <c r="AN606" s="91"/>
      <c r="AO606" s="91"/>
      <c r="AP606" s="91"/>
      <c r="AQ606" s="91"/>
    </row>
    <row r="607" spans="2:43" ht="14.7" hidden="1" customHeight="1" outlineLevel="1" x14ac:dyDescent="0.3">
      <c r="B607" s="425">
        <f t="shared" si="16"/>
        <v>66</v>
      </c>
      <c r="C607" s="95" t="s">
        <v>456</v>
      </c>
      <c r="D607" s="474"/>
      <c r="E607" s="474"/>
      <c r="F607" s="91"/>
      <c r="G607" s="91"/>
      <c r="H607" s="91"/>
      <c r="I607" s="91"/>
      <c r="J607" s="91"/>
      <c r="K607" s="91"/>
      <c r="L607" s="91"/>
      <c r="M607" s="91"/>
      <c r="N607" s="91"/>
      <c r="O607" s="91"/>
      <c r="P607" s="91"/>
      <c r="Q607" s="91"/>
      <c r="R607" s="91"/>
      <c r="S607" s="91"/>
      <c r="T607" s="91"/>
      <c r="U607" s="91"/>
      <c r="V607" s="91"/>
      <c r="W607" s="91"/>
      <c r="X607" s="474"/>
      <c r="Y607" s="474"/>
      <c r="Z607" s="91"/>
      <c r="AA607" s="91"/>
      <c r="AB607" s="91"/>
      <c r="AC607" s="91"/>
      <c r="AD607" s="91"/>
      <c r="AE607" s="91"/>
      <c r="AF607" s="91"/>
      <c r="AG607" s="91"/>
      <c r="AH607" s="91"/>
      <c r="AI607" s="91"/>
      <c r="AJ607" s="91"/>
      <c r="AK607" s="91"/>
      <c r="AL607" s="91"/>
      <c r="AM607" s="91"/>
      <c r="AN607" s="91"/>
      <c r="AO607" s="91"/>
      <c r="AP607" s="91"/>
      <c r="AQ607" s="91"/>
    </row>
    <row r="608" spans="2:43" ht="14.7" hidden="1" customHeight="1" outlineLevel="1" x14ac:dyDescent="0.3">
      <c r="B608" s="425">
        <f t="shared" ref="B608:B621" si="17">1+B607</f>
        <v>67</v>
      </c>
      <c r="C608" s="95" t="s">
        <v>456</v>
      </c>
      <c r="D608" s="474"/>
      <c r="E608" s="474"/>
      <c r="F608" s="91"/>
      <c r="G608" s="91"/>
      <c r="H608" s="91"/>
      <c r="I608" s="91"/>
      <c r="J608" s="91"/>
      <c r="K608" s="91"/>
      <c r="L608" s="91"/>
      <c r="M608" s="91"/>
      <c r="N608" s="91"/>
      <c r="O608" s="91"/>
      <c r="P608" s="91"/>
      <c r="Q608" s="91"/>
      <c r="R608" s="91"/>
      <c r="S608" s="91"/>
      <c r="T608" s="91"/>
      <c r="U608" s="91"/>
      <c r="V608" s="91"/>
      <c r="W608" s="91"/>
      <c r="X608" s="474"/>
      <c r="Y608" s="474"/>
      <c r="Z608" s="91"/>
      <c r="AA608" s="91"/>
      <c r="AB608" s="91"/>
      <c r="AC608" s="91"/>
      <c r="AD608" s="91"/>
      <c r="AE608" s="91"/>
      <c r="AF608" s="91"/>
      <c r="AG608" s="91"/>
      <c r="AH608" s="91"/>
      <c r="AI608" s="91"/>
      <c r="AJ608" s="91"/>
      <c r="AK608" s="91"/>
      <c r="AL608" s="91"/>
      <c r="AM608" s="91"/>
      <c r="AN608" s="91"/>
      <c r="AO608" s="91"/>
      <c r="AP608" s="91"/>
      <c r="AQ608" s="91"/>
    </row>
    <row r="609" spans="2:43" ht="14.7" hidden="1" customHeight="1" outlineLevel="1" x14ac:dyDescent="0.3">
      <c r="B609" s="425">
        <f t="shared" si="17"/>
        <v>68</v>
      </c>
      <c r="C609" s="95" t="s">
        <v>456</v>
      </c>
      <c r="D609" s="474"/>
      <c r="E609" s="474"/>
      <c r="F609" s="91"/>
      <c r="G609" s="91"/>
      <c r="H609" s="91"/>
      <c r="I609" s="91"/>
      <c r="J609" s="91"/>
      <c r="K609" s="91"/>
      <c r="L609" s="91"/>
      <c r="M609" s="91"/>
      <c r="N609" s="91"/>
      <c r="O609" s="91"/>
      <c r="P609" s="91"/>
      <c r="Q609" s="91"/>
      <c r="R609" s="91"/>
      <c r="S609" s="91"/>
      <c r="T609" s="91"/>
      <c r="U609" s="91"/>
      <c r="V609" s="91"/>
      <c r="W609" s="91"/>
      <c r="X609" s="474"/>
      <c r="Y609" s="474"/>
      <c r="Z609" s="91"/>
      <c r="AA609" s="91"/>
      <c r="AB609" s="91"/>
      <c r="AC609" s="91"/>
      <c r="AD609" s="91"/>
      <c r="AE609" s="91"/>
      <c r="AF609" s="91"/>
      <c r="AG609" s="91"/>
      <c r="AH609" s="91"/>
      <c r="AI609" s="91"/>
      <c r="AJ609" s="91"/>
      <c r="AK609" s="91"/>
      <c r="AL609" s="91"/>
      <c r="AM609" s="91"/>
      <c r="AN609" s="91"/>
      <c r="AO609" s="91"/>
      <c r="AP609" s="91"/>
      <c r="AQ609" s="91"/>
    </row>
    <row r="610" spans="2:43" ht="14.7" hidden="1" customHeight="1" outlineLevel="1" x14ac:dyDescent="0.3">
      <c r="B610" s="425">
        <f t="shared" si="17"/>
        <v>69</v>
      </c>
      <c r="C610" s="95" t="s">
        <v>456</v>
      </c>
      <c r="D610" s="474"/>
      <c r="E610" s="474"/>
      <c r="F610" s="91"/>
      <c r="G610" s="91"/>
      <c r="H610" s="91"/>
      <c r="I610" s="91"/>
      <c r="J610" s="91"/>
      <c r="K610" s="91"/>
      <c r="L610" s="91"/>
      <c r="M610" s="91"/>
      <c r="N610" s="91"/>
      <c r="O610" s="91"/>
      <c r="P610" s="91"/>
      <c r="Q610" s="91"/>
      <c r="R610" s="91"/>
      <c r="S610" s="91"/>
      <c r="T610" s="91"/>
      <c r="U610" s="91"/>
      <c r="V610" s="91"/>
      <c r="W610" s="91"/>
      <c r="X610" s="474"/>
      <c r="Y610" s="474"/>
      <c r="Z610" s="91"/>
      <c r="AA610" s="91"/>
      <c r="AB610" s="91"/>
      <c r="AC610" s="91"/>
      <c r="AD610" s="91"/>
      <c r="AE610" s="91"/>
      <c r="AF610" s="91"/>
      <c r="AG610" s="91"/>
      <c r="AH610" s="91"/>
      <c r="AI610" s="91"/>
      <c r="AJ610" s="91"/>
      <c r="AK610" s="91"/>
      <c r="AL610" s="91"/>
      <c r="AM610" s="91"/>
      <c r="AN610" s="91"/>
      <c r="AO610" s="91"/>
      <c r="AP610" s="91"/>
      <c r="AQ610" s="91"/>
    </row>
    <row r="611" spans="2:43" ht="14.7" hidden="1" customHeight="1" outlineLevel="1" x14ac:dyDescent="0.3">
      <c r="B611" s="425">
        <f t="shared" si="17"/>
        <v>70</v>
      </c>
      <c r="C611" s="95" t="s">
        <v>456</v>
      </c>
      <c r="D611" s="474"/>
      <c r="E611" s="474"/>
      <c r="F611" s="91"/>
      <c r="G611" s="91"/>
      <c r="H611" s="91"/>
      <c r="I611" s="91"/>
      <c r="J611" s="91"/>
      <c r="K611" s="91"/>
      <c r="L611" s="91"/>
      <c r="M611" s="91"/>
      <c r="N611" s="91"/>
      <c r="O611" s="91"/>
      <c r="P611" s="91"/>
      <c r="Q611" s="91"/>
      <c r="R611" s="91"/>
      <c r="S611" s="91"/>
      <c r="T611" s="91"/>
      <c r="U611" s="91"/>
      <c r="V611" s="91"/>
      <c r="W611" s="91"/>
      <c r="X611" s="474"/>
      <c r="Y611" s="474"/>
      <c r="Z611" s="91"/>
      <c r="AA611" s="91"/>
      <c r="AB611" s="91"/>
      <c r="AC611" s="91"/>
      <c r="AD611" s="91"/>
      <c r="AE611" s="91"/>
      <c r="AF611" s="91"/>
      <c r="AG611" s="91"/>
      <c r="AH611" s="91"/>
      <c r="AI611" s="91"/>
      <c r="AJ611" s="91"/>
      <c r="AK611" s="91"/>
      <c r="AL611" s="91"/>
      <c r="AM611" s="91"/>
      <c r="AN611" s="91"/>
      <c r="AO611" s="91"/>
      <c r="AP611" s="91"/>
      <c r="AQ611" s="91"/>
    </row>
    <row r="612" spans="2:43" ht="14.7" hidden="1" customHeight="1" outlineLevel="1" x14ac:dyDescent="0.3">
      <c r="B612" s="425">
        <f t="shared" si="17"/>
        <v>71</v>
      </c>
      <c r="C612" s="95" t="s">
        <v>456</v>
      </c>
      <c r="D612" s="474"/>
      <c r="E612" s="474"/>
      <c r="F612" s="91"/>
      <c r="G612" s="91"/>
      <c r="H612" s="91"/>
      <c r="I612" s="91"/>
      <c r="J612" s="91"/>
      <c r="K612" s="91"/>
      <c r="L612" s="91"/>
      <c r="M612" s="91"/>
      <c r="N612" s="91"/>
      <c r="O612" s="91"/>
      <c r="P612" s="91"/>
      <c r="Q612" s="91"/>
      <c r="R612" s="91"/>
      <c r="S612" s="91"/>
      <c r="T612" s="91"/>
      <c r="U612" s="91"/>
      <c r="V612" s="91"/>
      <c r="W612" s="91"/>
      <c r="X612" s="474"/>
      <c r="Y612" s="474"/>
      <c r="Z612" s="91"/>
      <c r="AA612" s="91"/>
      <c r="AB612" s="91"/>
      <c r="AC612" s="91"/>
      <c r="AD612" s="91"/>
      <c r="AE612" s="91"/>
      <c r="AF612" s="91"/>
      <c r="AG612" s="91"/>
      <c r="AH612" s="91"/>
      <c r="AI612" s="91"/>
      <c r="AJ612" s="91"/>
      <c r="AK612" s="91"/>
      <c r="AL612" s="91"/>
      <c r="AM612" s="91"/>
      <c r="AN612" s="91"/>
      <c r="AO612" s="91"/>
      <c r="AP612" s="91"/>
      <c r="AQ612" s="91"/>
    </row>
    <row r="613" spans="2:43" ht="14.7" hidden="1" customHeight="1" outlineLevel="1" x14ac:dyDescent="0.3">
      <c r="B613" s="425">
        <f t="shared" si="17"/>
        <v>72</v>
      </c>
      <c r="C613" s="95" t="s">
        <v>456</v>
      </c>
      <c r="D613" s="474"/>
      <c r="E613" s="474"/>
      <c r="F613" s="91"/>
      <c r="G613" s="91"/>
      <c r="H613" s="91"/>
      <c r="I613" s="91"/>
      <c r="J613" s="91"/>
      <c r="K613" s="91"/>
      <c r="L613" s="91"/>
      <c r="M613" s="91"/>
      <c r="N613" s="91"/>
      <c r="O613" s="91"/>
      <c r="P613" s="91"/>
      <c r="Q613" s="91"/>
      <c r="R613" s="91"/>
      <c r="S613" s="91"/>
      <c r="T613" s="91"/>
      <c r="U613" s="91"/>
      <c r="V613" s="91"/>
      <c r="W613" s="91"/>
      <c r="X613" s="474"/>
      <c r="Y613" s="474"/>
      <c r="Z613" s="91"/>
      <c r="AA613" s="91"/>
      <c r="AB613" s="91"/>
      <c r="AC613" s="91"/>
      <c r="AD613" s="91"/>
      <c r="AE613" s="91"/>
      <c r="AF613" s="91"/>
      <c r="AG613" s="91"/>
      <c r="AH613" s="91"/>
      <c r="AI613" s="91"/>
      <c r="AJ613" s="91"/>
      <c r="AK613" s="91"/>
      <c r="AL613" s="91"/>
      <c r="AM613" s="91"/>
      <c r="AN613" s="91"/>
      <c r="AO613" s="91"/>
      <c r="AP613" s="91"/>
      <c r="AQ613" s="91"/>
    </row>
    <row r="614" spans="2:43" ht="14.7" hidden="1" customHeight="1" outlineLevel="1" x14ac:dyDescent="0.3">
      <c r="B614" s="425">
        <f t="shared" si="17"/>
        <v>73</v>
      </c>
      <c r="C614" s="95" t="s">
        <v>456</v>
      </c>
      <c r="D614" s="474"/>
      <c r="E614" s="474"/>
      <c r="F614" s="91"/>
      <c r="G614" s="91"/>
      <c r="H614" s="91"/>
      <c r="I614" s="91"/>
      <c r="J614" s="91"/>
      <c r="K614" s="91"/>
      <c r="L614" s="91"/>
      <c r="M614" s="91"/>
      <c r="N614" s="91"/>
      <c r="O614" s="91"/>
      <c r="P614" s="91"/>
      <c r="Q614" s="91"/>
      <c r="R614" s="91"/>
      <c r="S614" s="91"/>
      <c r="T614" s="91"/>
      <c r="U614" s="91"/>
      <c r="V614" s="91"/>
      <c r="W614" s="91"/>
      <c r="X614" s="474"/>
      <c r="Y614" s="474"/>
      <c r="Z614" s="91"/>
      <c r="AA614" s="91"/>
      <c r="AB614" s="91"/>
      <c r="AC614" s="91"/>
      <c r="AD614" s="91"/>
      <c r="AE614" s="91"/>
      <c r="AF614" s="91"/>
      <c r="AG614" s="91"/>
      <c r="AH614" s="91"/>
      <c r="AI614" s="91"/>
      <c r="AJ614" s="91"/>
      <c r="AK614" s="91"/>
      <c r="AL614" s="91"/>
      <c r="AM614" s="91"/>
      <c r="AN614" s="91"/>
      <c r="AO614" s="91"/>
      <c r="AP614" s="91"/>
      <c r="AQ614" s="91"/>
    </row>
    <row r="615" spans="2:43" ht="14.7" hidden="1" customHeight="1" outlineLevel="1" x14ac:dyDescent="0.3">
      <c r="B615" s="425">
        <f t="shared" si="17"/>
        <v>74</v>
      </c>
      <c r="C615" s="95" t="s">
        <v>456</v>
      </c>
      <c r="D615" s="474"/>
      <c r="E615" s="474"/>
      <c r="F615" s="91"/>
      <c r="G615" s="91"/>
      <c r="H615" s="91"/>
      <c r="I615" s="91"/>
      <c r="J615" s="91"/>
      <c r="K615" s="91"/>
      <c r="L615" s="91"/>
      <c r="M615" s="91"/>
      <c r="N615" s="91"/>
      <c r="O615" s="91"/>
      <c r="P615" s="91"/>
      <c r="Q615" s="91"/>
      <c r="R615" s="91"/>
      <c r="S615" s="91"/>
      <c r="T615" s="91"/>
      <c r="U615" s="91"/>
      <c r="V615" s="91"/>
      <c r="W615" s="91"/>
      <c r="X615" s="474"/>
      <c r="Y615" s="474"/>
      <c r="Z615" s="91"/>
      <c r="AA615" s="91"/>
      <c r="AB615" s="91"/>
      <c r="AC615" s="91"/>
      <c r="AD615" s="91"/>
      <c r="AE615" s="91"/>
      <c r="AF615" s="91"/>
      <c r="AG615" s="91"/>
      <c r="AH615" s="91"/>
      <c r="AI615" s="91"/>
      <c r="AJ615" s="91"/>
      <c r="AK615" s="91"/>
      <c r="AL615" s="91"/>
      <c r="AM615" s="91"/>
      <c r="AN615" s="91"/>
      <c r="AO615" s="91"/>
      <c r="AP615" s="91"/>
      <c r="AQ615" s="91"/>
    </row>
    <row r="616" spans="2:43" ht="14.7" hidden="1" customHeight="1" outlineLevel="1" x14ac:dyDescent="0.3">
      <c r="B616" s="425">
        <f t="shared" si="17"/>
        <v>75</v>
      </c>
      <c r="C616" s="95" t="s">
        <v>456</v>
      </c>
      <c r="D616" s="474"/>
      <c r="E616" s="474"/>
      <c r="F616" s="91"/>
      <c r="G616" s="91"/>
      <c r="H616" s="91"/>
      <c r="I616" s="91"/>
      <c r="J616" s="91"/>
      <c r="K616" s="91"/>
      <c r="L616" s="91"/>
      <c r="M616" s="91"/>
      <c r="N616" s="91"/>
      <c r="O616" s="91"/>
      <c r="P616" s="91"/>
      <c r="Q616" s="91"/>
      <c r="R616" s="91"/>
      <c r="S616" s="91"/>
      <c r="T616" s="91"/>
      <c r="U616" s="91"/>
      <c r="V616" s="91"/>
      <c r="W616" s="91"/>
      <c r="X616" s="474"/>
      <c r="Y616" s="474"/>
      <c r="Z616" s="91"/>
      <c r="AA616" s="91"/>
      <c r="AB616" s="91"/>
      <c r="AC616" s="91"/>
      <c r="AD616" s="91"/>
      <c r="AE616" s="91"/>
      <c r="AF616" s="91"/>
      <c r="AG616" s="91"/>
      <c r="AH616" s="91"/>
      <c r="AI616" s="91"/>
      <c r="AJ616" s="91"/>
      <c r="AK616" s="91"/>
      <c r="AL616" s="91"/>
      <c r="AM616" s="91"/>
      <c r="AN616" s="91"/>
      <c r="AO616" s="91"/>
      <c r="AP616" s="91"/>
      <c r="AQ616" s="91"/>
    </row>
    <row r="617" spans="2:43" ht="14.7" hidden="1" customHeight="1" outlineLevel="1" x14ac:dyDescent="0.3">
      <c r="B617" s="425">
        <f t="shared" si="17"/>
        <v>76</v>
      </c>
      <c r="C617" s="95" t="s">
        <v>456</v>
      </c>
      <c r="D617" s="474"/>
      <c r="E617" s="474"/>
      <c r="F617" s="91"/>
      <c r="G617" s="91"/>
      <c r="H617" s="91"/>
      <c r="I617" s="91"/>
      <c r="J617" s="91"/>
      <c r="K617" s="91"/>
      <c r="L617" s="91"/>
      <c r="M617" s="91"/>
      <c r="N617" s="91"/>
      <c r="O617" s="91"/>
      <c r="P617" s="91"/>
      <c r="Q617" s="91"/>
      <c r="R617" s="91"/>
      <c r="S617" s="91"/>
      <c r="T617" s="91"/>
      <c r="U617" s="91"/>
      <c r="V617" s="91"/>
      <c r="W617" s="91"/>
      <c r="X617" s="474"/>
      <c r="Y617" s="474"/>
      <c r="Z617" s="91"/>
      <c r="AA617" s="91"/>
      <c r="AB617" s="91"/>
      <c r="AC617" s="91"/>
      <c r="AD617" s="91"/>
      <c r="AE617" s="91"/>
      <c r="AF617" s="91"/>
      <c r="AG617" s="91"/>
      <c r="AH617" s="91"/>
      <c r="AI617" s="91"/>
      <c r="AJ617" s="91"/>
      <c r="AK617" s="91"/>
      <c r="AL617" s="91"/>
      <c r="AM617" s="91"/>
      <c r="AN617" s="91"/>
      <c r="AO617" s="91"/>
      <c r="AP617" s="91"/>
      <c r="AQ617" s="91"/>
    </row>
    <row r="618" spans="2:43" ht="14.7" hidden="1" customHeight="1" outlineLevel="1" x14ac:dyDescent="0.3">
      <c r="B618" s="425">
        <f t="shared" si="17"/>
        <v>77</v>
      </c>
      <c r="C618" s="95" t="s">
        <v>456</v>
      </c>
      <c r="D618" s="474"/>
      <c r="E618" s="474"/>
      <c r="F618" s="91"/>
      <c r="G618" s="91"/>
      <c r="H618" s="91"/>
      <c r="I618" s="91"/>
      <c r="J618" s="91"/>
      <c r="K618" s="91"/>
      <c r="L618" s="91"/>
      <c r="M618" s="91"/>
      <c r="N618" s="91"/>
      <c r="O618" s="91"/>
      <c r="P618" s="91"/>
      <c r="Q618" s="91"/>
      <c r="R618" s="91"/>
      <c r="S618" s="91"/>
      <c r="T618" s="91"/>
      <c r="U618" s="91"/>
      <c r="V618" s="91"/>
      <c r="W618" s="91"/>
      <c r="X618" s="474"/>
      <c r="Y618" s="474"/>
      <c r="Z618" s="91"/>
      <c r="AA618" s="91"/>
      <c r="AB618" s="91"/>
      <c r="AC618" s="91"/>
      <c r="AD618" s="91"/>
      <c r="AE618" s="91"/>
      <c r="AF618" s="91"/>
      <c r="AG618" s="91"/>
      <c r="AH618" s="91"/>
      <c r="AI618" s="91"/>
      <c r="AJ618" s="91"/>
      <c r="AK618" s="91"/>
      <c r="AL618" s="91"/>
      <c r="AM618" s="91"/>
      <c r="AN618" s="91"/>
      <c r="AO618" s="91"/>
      <c r="AP618" s="91"/>
      <c r="AQ618" s="91"/>
    </row>
    <row r="619" spans="2:43" ht="14.7" hidden="1" customHeight="1" outlineLevel="1" x14ac:dyDescent="0.3">
      <c r="B619" s="425">
        <f t="shared" si="17"/>
        <v>78</v>
      </c>
      <c r="C619" s="95" t="s">
        <v>456</v>
      </c>
      <c r="D619" s="474"/>
      <c r="E619" s="474"/>
      <c r="F619" s="91"/>
      <c r="G619" s="91"/>
      <c r="H619" s="91"/>
      <c r="I619" s="91"/>
      <c r="J619" s="91"/>
      <c r="K619" s="91"/>
      <c r="L619" s="91"/>
      <c r="M619" s="91"/>
      <c r="N619" s="91"/>
      <c r="O619" s="91"/>
      <c r="P619" s="91"/>
      <c r="Q619" s="91"/>
      <c r="R619" s="91"/>
      <c r="S619" s="91"/>
      <c r="T619" s="91"/>
      <c r="U619" s="91"/>
      <c r="V619" s="91"/>
      <c r="W619" s="91"/>
      <c r="X619" s="474"/>
      <c r="Y619" s="474"/>
      <c r="Z619" s="91"/>
      <c r="AA619" s="91"/>
      <c r="AB619" s="91"/>
      <c r="AC619" s="91"/>
      <c r="AD619" s="91"/>
      <c r="AE619" s="91"/>
      <c r="AF619" s="91"/>
      <c r="AG619" s="91"/>
      <c r="AH619" s="91"/>
      <c r="AI619" s="91"/>
      <c r="AJ619" s="91"/>
      <c r="AK619" s="91"/>
      <c r="AL619" s="91"/>
      <c r="AM619" s="91"/>
      <c r="AN619" s="91"/>
      <c r="AO619" s="91"/>
      <c r="AP619" s="91"/>
      <c r="AQ619" s="91"/>
    </row>
    <row r="620" spans="2:43" ht="14.7" hidden="1" customHeight="1" outlineLevel="1" x14ac:dyDescent="0.3">
      <c r="B620" s="425">
        <f t="shared" si="17"/>
        <v>79</v>
      </c>
      <c r="C620" s="95" t="s">
        <v>456</v>
      </c>
      <c r="D620" s="474"/>
      <c r="E620" s="474"/>
      <c r="F620" s="91"/>
      <c r="G620" s="91"/>
      <c r="H620" s="91"/>
      <c r="I620" s="91"/>
      <c r="J620" s="91"/>
      <c r="K620" s="91"/>
      <c r="L620" s="91"/>
      <c r="M620" s="91"/>
      <c r="N620" s="91"/>
      <c r="O620" s="91"/>
      <c r="P620" s="91"/>
      <c r="Q620" s="91"/>
      <c r="R620" s="91"/>
      <c r="S620" s="91"/>
      <c r="T620" s="91"/>
      <c r="U620" s="91"/>
      <c r="V620" s="91"/>
      <c r="W620" s="91"/>
      <c r="X620" s="474"/>
      <c r="Y620" s="474"/>
      <c r="Z620" s="91"/>
      <c r="AA620" s="91"/>
      <c r="AB620" s="91"/>
      <c r="AC620" s="91"/>
      <c r="AD620" s="91"/>
      <c r="AE620" s="91"/>
      <c r="AF620" s="91"/>
      <c r="AG620" s="91"/>
      <c r="AH620" s="91"/>
      <c r="AI620" s="91"/>
      <c r="AJ620" s="91"/>
      <c r="AK620" s="91"/>
      <c r="AL620" s="91"/>
      <c r="AM620" s="91"/>
      <c r="AN620" s="91"/>
      <c r="AO620" s="91"/>
      <c r="AP620" s="91"/>
      <c r="AQ620" s="91"/>
    </row>
    <row r="621" spans="2:43" ht="12.45" customHeight="1" collapsed="1" x14ac:dyDescent="0.3">
      <c r="B621" s="425">
        <f t="shared" si="17"/>
        <v>80</v>
      </c>
      <c r="C621" s="95" t="s">
        <v>456</v>
      </c>
      <c r="D621" s="474"/>
      <c r="E621" s="474"/>
      <c r="F621" s="91"/>
      <c r="G621" s="91"/>
      <c r="H621" s="91"/>
      <c r="I621" s="91"/>
      <c r="J621" s="91"/>
      <c r="K621" s="91"/>
      <c r="L621" s="91"/>
      <c r="M621" s="91"/>
      <c r="N621" s="91"/>
      <c r="O621" s="91"/>
      <c r="P621" s="91"/>
      <c r="Q621" s="91"/>
      <c r="R621" s="91"/>
      <c r="S621" s="91"/>
      <c r="T621" s="91"/>
      <c r="U621" s="91"/>
      <c r="V621" s="91"/>
      <c r="W621" s="91"/>
      <c r="X621" s="474"/>
      <c r="Y621" s="474"/>
      <c r="Z621" s="91"/>
      <c r="AA621" s="91"/>
      <c r="AB621" s="91"/>
      <c r="AC621" s="91"/>
      <c r="AD621" s="91"/>
      <c r="AE621" s="91"/>
      <c r="AF621" s="91"/>
      <c r="AG621" s="91"/>
      <c r="AH621" s="91"/>
      <c r="AI621" s="91"/>
      <c r="AJ621" s="91"/>
      <c r="AK621" s="91"/>
      <c r="AL621" s="91"/>
      <c r="AM621" s="91"/>
      <c r="AN621" s="91"/>
      <c r="AO621" s="91"/>
      <c r="AP621" s="91"/>
      <c r="AQ621" s="91"/>
    </row>
    <row r="622" spans="2:43" x14ac:dyDescent="0.2">
      <c r="B622" s="252"/>
      <c r="C622" s="468"/>
    </row>
    <row r="623" spans="2:43" x14ac:dyDescent="0.2">
      <c r="B623" s="252"/>
      <c r="C623" s="252" t="s">
        <v>956</v>
      </c>
    </row>
    <row r="624" spans="2:43" x14ac:dyDescent="0.2">
      <c r="B624" s="252"/>
      <c r="C624" s="468"/>
    </row>
    <row r="626" spans="1:91" ht="15.6" x14ac:dyDescent="0.2">
      <c r="A626" s="412" t="s">
        <v>358</v>
      </c>
      <c r="B626" s="412" t="s">
        <v>292</v>
      </c>
      <c r="C626" s="412"/>
      <c r="D626" s="413"/>
      <c r="E626" s="413"/>
      <c r="F626" s="413"/>
      <c r="G626" s="413"/>
      <c r="H626" s="413"/>
      <c r="I626" s="413"/>
      <c r="J626" s="413"/>
      <c r="K626" s="413"/>
      <c r="L626" s="413"/>
      <c r="M626" s="413"/>
      <c r="N626" s="413"/>
      <c r="O626" s="413"/>
      <c r="P626" s="413"/>
      <c r="Q626" s="413"/>
      <c r="R626" s="413"/>
      <c r="S626" s="413"/>
      <c r="T626" s="413"/>
      <c r="U626" s="413"/>
      <c r="V626" s="413"/>
      <c r="W626" s="413"/>
      <c r="X626" s="413"/>
      <c r="Y626" s="413"/>
      <c r="Z626" s="413"/>
      <c r="AA626" s="413"/>
      <c r="AB626" s="413"/>
      <c r="AC626" s="413"/>
      <c r="AD626" s="413"/>
      <c r="AE626" s="413"/>
      <c r="AF626" s="413"/>
      <c r="AG626" s="413"/>
      <c r="AH626" s="413"/>
      <c r="AI626" s="413"/>
      <c r="AJ626" s="413"/>
      <c r="AK626" s="413"/>
      <c r="AL626" s="413"/>
      <c r="AM626" s="413"/>
      <c r="AN626" s="413"/>
      <c r="AO626" s="413"/>
      <c r="AP626" s="413"/>
      <c r="AQ626" s="413"/>
      <c r="AR626" s="413"/>
      <c r="AS626" s="413"/>
      <c r="AT626" s="413"/>
      <c r="AU626" s="413"/>
      <c r="AV626" s="413"/>
      <c r="AW626" s="413"/>
      <c r="AX626" s="413"/>
      <c r="AY626" s="413"/>
      <c r="AZ626" s="413"/>
      <c r="BA626" s="413"/>
      <c r="BB626" s="413"/>
      <c r="BC626" s="413"/>
      <c r="BD626" s="413"/>
      <c r="BE626" s="413"/>
      <c r="BF626" s="413"/>
      <c r="BG626" s="413"/>
      <c r="BH626" s="413"/>
      <c r="BI626" s="413"/>
      <c r="BJ626" s="413"/>
      <c r="BK626" s="413"/>
      <c r="BL626" s="413"/>
      <c r="BM626" s="413"/>
      <c r="BN626" s="413"/>
      <c r="BO626" s="413"/>
      <c r="BP626" s="413"/>
      <c r="BQ626" s="413"/>
      <c r="BR626" s="413"/>
      <c r="BS626" s="413"/>
      <c r="BT626" s="413"/>
      <c r="BU626" s="413"/>
      <c r="BV626" s="413"/>
      <c r="BW626" s="413"/>
      <c r="BX626" s="413"/>
      <c r="BY626" s="413"/>
      <c r="BZ626" s="413"/>
      <c r="CA626" s="413"/>
      <c r="CB626" s="413"/>
      <c r="CC626" s="413"/>
      <c r="CD626" s="413"/>
      <c r="CE626" s="413"/>
      <c r="CF626" s="413"/>
      <c r="CG626" s="413"/>
      <c r="CH626" s="413"/>
      <c r="CI626" s="413"/>
      <c r="CJ626" s="413"/>
      <c r="CK626" s="413"/>
      <c r="CL626" s="413"/>
      <c r="CM626" s="413"/>
    </row>
  </sheetData>
  <mergeCells count="38">
    <mergeCell ref="AH540:AO540"/>
    <mergeCell ref="F364:I364"/>
    <mergeCell ref="J364:K364"/>
    <mergeCell ref="N364:U364"/>
    <mergeCell ref="F453:I453"/>
    <mergeCell ref="J453:K453"/>
    <mergeCell ref="N453:U453"/>
    <mergeCell ref="F540:I540"/>
    <mergeCell ref="J540:K540"/>
    <mergeCell ref="N540:U540"/>
    <mergeCell ref="Z540:AC540"/>
    <mergeCell ref="AD540:AE540"/>
    <mergeCell ref="X364:Z364"/>
    <mergeCell ref="AH272:AO272"/>
    <mergeCell ref="F99:I99"/>
    <mergeCell ref="J99:K99"/>
    <mergeCell ref="N99:U99"/>
    <mergeCell ref="F185:I185"/>
    <mergeCell ref="J185:K185"/>
    <mergeCell ref="N185:U185"/>
    <mergeCell ref="F272:I272"/>
    <mergeCell ref="J272:K272"/>
    <mergeCell ref="N272:U272"/>
    <mergeCell ref="Z272:AC272"/>
    <mergeCell ref="AD272:AE272"/>
    <mergeCell ref="AH73:AO73"/>
    <mergeCell ref="C4:O4"/>
    <mergeCell ref="F15:I15"/>
    <mergeCell ref="J15:K15"/>
    <mergeCell ref="N15:U15"/>
    <mergeCell ref="F59:I59"/>
    <mergeCell ref="J59:K59"/>
    <mergeCell ref="N59:U59"/>
    <mergeCell ref="F73:I73"/>
    <mergeCell ref="J73:K73"/>
    <mergeCell ref="N73:U73"/>
    <mergeCell ref="Z73:AC73"/>
    <mergeCell ref="AD73:AE73"/>
  </mergeCells>
  <pageMargins left="0.70866141732283472" right="0.70866141732283472" top="0.51181102362204722" bottom="0.51181102362204722" header="0.51181102362204722" footer="0.35433070866141736"/>
  <pageSetup paperSize="9" orientation="landscape" horizontalDpi="4294967292" verticalDpi="4294967292" r:id="rId1"/>
  <headerFooter alignWithMargins="0">
    <oddFooter xml:space="preserve">&amp;L&amp;F : &amp;A&amp;CPrinted at &amp;T on &amp;D&amp;RCommercial in confidence © Analysys Mason </oddFooter>
  </headerFooter>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50373C310612454E87FA67A34FACAE27" ma:contentTypeVersion="18" ma:contentTypeDescription="Crear nuevo documento." ma:contentTypeScope="" ma:versionID="3992aeb53b2f939112f13068294e4ab0">
  <xsd:schema xmlns:xsd="http://www.w3.org/2001/XMLSchema" xmlns:xs="http://www.w3.org/2001/XMLSchema" xmlns:p="http://schemas.microsoft.com/office/2006/metadata/properties" xmlns:ns3="f4027de5-4fa1-4b3b-b037-3c59b9ed5c3d" xmlns:ns4="0f9bfead-820e-4107-aaaf-47e5e77485e7" targetNamespace="http://schemas.microsoft.com/office/2006/metadata/properties" ma:root="true" ma:fieldsID="28f8b3dca421e4bd0f1244b49d56a244" ns3:_="" ns4:_="">
    <xsd:import namespace="f4027de5-4fa1-4b3b-b037-3c59b9ed5c3d"/>
    <xsd:import namespace="0f9bfead-820e-4107-aaaf-47e5e77485e7"/>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LengthInSeconds" minOccurs="0"/>
                <xsd:element ref="ns4:SharedWithUsers" minOccurs="0"/>
                <xsd:element ref="ns4:SharedWithDetails" minOccurs="0"/>
                <xsd:element ref="ns4:SharingHintHash"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027de5-4fa1-4b3b-b037-3c59b9ed5c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f9bfead-820e-4107-aaaf-47e5e77485e7" elementFormDefault="qualified">
    <xsd:import namespace="http://schemas.microsoft.com/office/2006/documentManagement/types"/>
    <xsd:import namespace="http://schemas.microsoft.com/office/infopath/2007/PartnerControls"/>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element name="SharingHintHash" ma:index="21"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f4027de5-4fa1-4b3b-b037-3c59b9ed5c3d" xsi:nil="true"/>
  </documentManagement>
</p:properties>
</file>

<file path=customXml/itemProps1.xml><?xml version="1.0" encoding="utf-8"?>
<ds:datastoreItem xmlns:ds="http://schemas.openxmlformats.org/officeDocument/2006/customXml" ds:itemID="{9617AC44-4668-4D76-A1DF-40BB8FBA3D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027de5-4fa1-4b3b-b037-3c59b9ed5c3d"/>
    <ds:schemaRef ds:uri="0f9bfead-820e-4107-aaaf-47e5e77485e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723A123-27EE-4326-B53B-85EE7F98D960}">
  <ds:schemaRefs>
    <ds:schemaRef ds:uri="http://schemas.microsoft.com/sharepoint/v3/contenttype/forms"/>
  </ds:schemaRefs>
</ds:datastoreItem>
</file>

<file path=customXml/itemProps3.xml><?xml version="1.0" encoding="utf-8"?>
<ds:datastoreItem xmlns:ds="http://schemas.openxmlformats.org/officeDocument/2006/customXml" ds:itemID="{7609330C-ECC1-4DCE-B844-5A730E669E28}">
  <ds:schemaRefs>
    <ds:schemaRef ds:uri="http://schemas.microsoft.com/office/2006/documentManagement/types"/>
    <ds:schemaRef ds:uri="http://purl.org/dc/dcmitype/"/>
    <ds:schemaRef ds:uri="http://purl.org/dc/elements/1.1/"/>
    <ds:schemaRef ds:uri="http://purl.org/dc/terms/"/>
    <ds:schemaRef ds:uri="http://schemas.microsoft.com/office/infopath/2007/PartnerControls"/>
    <ds:schemaRef ds:uri="http://schemas.openxmlformats.org/package/2006/metadata/core-properties"/>
    <ds:schemaRef ds:uri="http://schemas.microsoft.com/office/2006/metadata/properties"/>
    <ds:schemaRef ds:uri="0f9bfead-820e-4107-aaaf-47e5e77485e7"/>
    <ds:schemaRef ds:uri="f4027de5-4fa1-4b3b-b037-3c59b9ed5c3d"/>
    <ds:schemaRef ds:uri="http://www.w3.org/XML/1998/namespace"/>
  </ds:schemaRefs>
</ds:datastoreItem>
</file>

<file path=docMetadata/LabelInfo.xml><?xml version="1.0" encoding="utf-8"?>
<clbl:labelList xmlns:clbl="http://schemas.microsoft.com/office/2020/mipLabelMetadata">
  <clbl:label id="{7f4d25dc-0cb0-4908-89bf-16102a1937e6}" enabled="0" method="" siteId="{7f4d25dc-0cb0-4908-89bf-16102a1937e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89</vt:i4>
      </vt:variant>
    </vt:vector>
  </HeadingPairs>
  <TitlesOfParts>
    <vt:vector size="103" baseType="lpstr">
      <vt:lpstr>C</vt:lpstr>
      <vt:lpstr>V</vt:lpstr>
      <vt:lpstr>S</vt:lpstr>
      <vt:lpstr>Listas</vt:lpstr>
      <vt:lpstr>Control</vt:lpstr>
      <vt:lpstr>Mercado</vt:lpstr>
      <vt:lpstr>Cálculos auxiliares</vt:lpstr>
      <vt:lpstr>Cálculos principales</vt:lpstr>
      <vt:lpstr>Calculos Renta de Linea y Voz</vt:lpstr>
      <vt:lpstr>Calculos Banda Ancha</vt:lpstr>
      <vt:lpstr>Tarifas SRL</vt:lpstr>
      <vt:lpstr>Datos AEP--&gt;</vt:lpstr>
      <vt:lpstr>Planes y paquetes</vt:lpstr>
      <vt:lpstr>Precios</vt:lpstr>
      <vt:lpstr>Admin.costs</vt:lpstr>
      <vt:lpstr>Admin.staff.per.customer.care.staff</vt:lpstr>
      <vt:lpstr>AEP.broadband.distribution.by.plan</vt:lpstr>
      <vt:lpstr>AEP.broadband.subs.by.plan</vt:lpstr>
      <vt:lpstr>AEP.broadband.subs.non.residential</vt:lpstr>
      <vt:lpstr>AEP.broadband.subs.residential</vt:lpstr>
      <vt:lpstr>AEP.broadband.subs.residential.with.line.rental</vt:lpstr>
      <vt:lpstr>AEP.broadband.subs.residential.without.line.rental</vt:lpstr>
      <vt:lpstr>AEP.telephone.lines</vt:lpstr>
      <vt:lpstr>AEP.telephone.lines.voice.only</vt:lpstr>
      <vt:lpstr>AEP.telephone.lines.voice.only.noresidential</vt:lpstr>
      <vt:lpstr>AEP.telephone.lines.voice.only.residential</vt:lpstr>
      <vt:lpstr>AEP.telephony.distribution.by.plan</vt:lpstr>
      <vt:lpstr>AEP.telephony.subs.by.plan</vt:lpstr>
      <vt:lpstr>'C'!Área_de_impresión</vt:lpstr>
      <vt:lpstr>V!Área_de_impresión</vt:lpstr>
      <vt:lpstr>Bad.debt.cost</vt:lpstr>
      <vt:lpstr>Billing.cost</vt:lpstr>
      <vt:lpstr>Broadbad.suscriptions.AEP</vt:lpstr>
      <vt:lpstr>Broadbad.suscriptions.market</vt:lpstr>
      <vt:lpstr>Broadband.gross.adds.non.residential</vt:lpstr>
      <vt:lpstr>Broadband.gross.adds.residential.with.line.rental</vt:lpstr>
      <vt:lpstr>clarovideo.rental.without.taxes</vt:lpstr>
      <vt:lpstr>Customer.care.broadbandsubscriber.per.staff</vt:lpstr>
      <vt:lpstr>Customer.care.line.rental.per.staff</vt:lpstr>
      <vt:lpstr>equipo.terminal.parameter</vt:lpstr>
      <vt:lpstr>factor.Mbps.to.Kbps</vt:lpstr>
      <vt:lpstr>Floorspace.per.staff</vt:lpstr>
      <vt:lpstr>Line.rental.churn</vt:lpstr>
      <vt:lpstr>local.loop.cooper</vt:lpstr>
      <vt:lpstr>local.loop.FTTC</vt:lpstr>
      <vt:lpstr>local.loop.optical.fiber</vt:lpstr>
      <vt:lpstr>Marketing.and.sales.minimum.proportion.broadband</vt:lpstr>
      <vt:lpstr>Marketing.and.sales.minimum.proportion.line.rental</vt:lpstr>
      <vt:lpstr>Marketing.and.sales.per.gross.add.broadband</vt:lpstr>
      <vt:lpstr>Marketing.and.sales.per.gross.add.line.rental</vt:lpstr>
      <vt:lpstr>modalidad</vt:lpstr>
      <vt:lpstr>Monthly.cost.per.staff</vt:lpstr>
      <vt:lpstr>Rent.per.sqm</vt:lpstr>
      <vt:lpstr>Retail.minus.additional.calls</vt:lpstr>
      <vt:lpstr>Retail.minus.additional.calls.retail.minus.items.only</vt:lpstr>
      <vt:lpstr>Retail.minus.bitstream.retail.minus.items.only</vt:lpstr>
      <vt:lpstr>Retail.minus.int</vt:lpstr>
      <vt:lpstr>Retail.minus.int.retail.minus.items.only</vt:lpstr>
      <vt:lpstr>Retail.minus.line.rental</vt:lpstr>
      <vt:lpstr>Retail.minus.line.rental.retail.minus.items.only</vt:lpstr>
      <vt:lpstr>Retail.profit</vt:lpstr>
      <vt:lpstr>servicio</vt:lpstr>
      <vt:lpstr>suscriptores2020</vt:lpstr>
      <vt:lpstr>suscriptores2021</vt:lpstr>
      <vt:lpstr>suscriptores2023</vt:lpstr>
      <vt:lpstr>suscriptores2024</vt:lpstr>
      <vt:lpstr>unit.cost.digital.service.3</vt:lpstr>
      <vt:lpstr>unit.cost.digital.service.4</vt:lpstr>
      <vt:lpstr>unit.cost.digital.service.5</vt:lpstr>
      <vt:lpstr>vector.broadband.plans.names</vt:lpstr>
      <vt:lpstr>vector.broadband.plans.singleplay.names</vt:lpstr>
      <vt:lpstr>vector.distribution.users.broadband</vt:lpstr>
      <vt:lpstr>vector.implicit.prices.broadband.after.discount</vt:lpstr>
      <vt:lpstr>vector.implicit.prices.broadband.before.discount</vt:lpstr>
      <vt:lpstr>vector.implicit.prices.digitalservices.after.discount</vt:lpstr>
      <vt:lpstr>vector.implicit.prices.digitalservices.before.discount</vt:lpstr>
      <vt:lpstr>vector.implicit.prices.line.rental.after.discount</vt:lpstr>
      <vt:lpstr>vector.implicit.prices.line.rental.before.discount</vt:lpstr>
      <vt:lpstr>vector.implicit.prices.voice.after.discount</vt:lpstr>
      <vt:lpstr>vector.implicit.prices.voice.before.discount</vt:lpstr>
      <vt:lpstr>vector.lines.publicited</vt:lpstr>
      <vt:lpstr>vector.num</vt:lpstr>
      <vt:lpstr>vector.periodicity</vt:lpstr>
      <vt:lpstr>vector.plans.available</vt:lpstr>
      <vt:lpstr>vector.plans.names</vt:lpstr>
      <vt:lpstr>vector.plans.with.line.rental.noresidential</vt:lpstr>
      <vt:lpstr>vector.plans.with.line.rental.residential</vt:lpstr>
      <vt:lpstr>vector.telephony.plans.names</vt:lpstr>
      <vt:lpstr>vector.telephony.plans.singleplay.names</vt:lpstr>
      <vt:lpstr>vector.users.broadband</vt:lpstr>
      <vt:lpstr>vector.users.distribution.telephone</vt:lpstr>
      <vt:lpstr>vector.users.telephone</vt:lpstr>
      <vt:lpstr>weighted.average.local.loop.by.plan</vt:lpstr>
      <vt:lpstr>weighted.average.local.loop.by.plan.by.tx.media</vt:lpstr>
      <vt:lpstr>Workbook.Author</vt:lpstr>
      <vt:lpstr>Workbook.Authors_Email_Address</vt:lpstr>
      <vt:lpstr>Workbook.Objective</vt:lpstr>
      <vt:lpstr>Workbook.Status</vt:lpstr>
      <vt:lpstr>Workbook.Title</vt:lpstr>
      <vt:lpstr>Workbook.Version</vt:lpstr>
      <vt:lpstr>Year.selected</vt:lpstr>
      <vt:lpstr>Years</vt:lpstr>
      <vt:lpstr>years.client.retention</vt:lpstr>
    </vt:vector>
  </TitlesOfParts>
  <Company>INSTITUTO FEDERAL DE TELECOMUNICACIONES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Martinez Anell</dc:creator>
  <cp:lastModifiedBy>Marco Angel Ortega Garcia</cp:lastModifiedBy>
  <dcterms:created xsi:type="dcterms:W3CDTF">2024-11-06T04:52:02Z</dcterms:created>
  <dcterms:modified xsi:type="dcterms:W3CDTF">2025-12-12T07:27:18Z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0x01010050373C310612454E87FA67A34FACAE27</vt:lpwstr>
  </property>
  <property fmtid="{D5CDD505-2E9C-101B-9397-08002B2CF9AE}" pid="3" name="GVData">
    <vt:lpwstr>ew0KICAiZG9jSUQiOiAiODMzMTUyYzItMjE4YS00Y2E1LTlkNGQtYjBlM2ExNTRiNWI5Ig0KfQ==</vt:lpwstr>
  </property>
  <property fmtid="{D5CDD505-2E9C-101B-9397-08002B2CF9AE}" pid="4" name="GVData0">
    <vt:lpwstr>(end)</vt:lpwstr>
  </property>
</Properties>
</file>